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24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berndschwarz/BYCS-EGrundsatz/E Team/00 Vorlagen Dokumente SB BB/02 Excel Mappen/03 Zuschussrechner PAD - Videoversion/"/>
    </mc:Choice>
  </mc:AlternateContent>
  <xr:revisionPtr revIDLastSave="0" documentId="13_ncr:1_{F4D1CA1D-EAD8-DE41-A4F8-DBAFA04C2043}" xr6:coauthVersionLast="47" xr6:coauthVersionMax="47" xr10:uidLastSave="{00000000-0000-0000-0000-000000000000}"/>
  <bookViews>
    <workbookView xWindow="0" yWindow="860" windowWidth="36000" windowHeight="22520" xr2:uid="{00000000-000D-0000-FFFF-FFFF00000000}"/>
  </bookViews>
  <sheets>
    <sheet name="Mobilitätsrechner" sheetId="1" r:id="rId1"/>
    <sheet name="Referenzdaten" sheetId="2" r:id="rId2"/>
    <sheet name="Budget" sheetId="3" r:id="rId3"/>
    <sheet name="Budget2024" sheetId="4" r:id="rId4"/>
  </sheets>
  <definedNames>
    <definedName name="_xlnm._FilterDatabase" localSheetId="2" hidden="1">Budget!$A$1:$O$33</definedName>
    <definedName name="_xlnm._FilterDatabase" localSheetId="3" hidden="1">Budget2024!$A$1:$O$8</definedName>
    <definedName name="ACTIVITY_TYPES">Referenzdaten!#REF!</definedName>
    <definedName name="ACTIVITY_TYPES_LONG">Referenzdaten!$C$2:$C$3</definedName>
    <definedName name="ACTIVITY_TYPES_SHORT">Referenzdaten!$B$3:$B$5</definedName>
    <definedName name="_xlnm.Print_Area" localSheetId="0">Mobilitätsrechner!$A$3:$T$84</definedName>
    <definedName name="STAFF_CATEGORIES">Referenzdaten!#REF!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9" i="1" l="1"/>
  <c r="S70" i="1"/>
  <c r="S71" i="1"/>
  <c r="S72" i="1"/>
  <c r="S73" i="1"/>
  <c r="S68" i="1"/>
  <c r="S59" i="1"/>
  <c r="R21" i="1"/>
  <c r="K59" i="1"/>
  <c r="K60" i="1"/>
  <c r="K61" i="1"/>
  <c r="K62" i="1"/>
  <c r="K63" i="1"/>
  <c r="O22" i="1"/>
  <c r="H21" i="1"/>
  <c r="D21" i="1"/>
  <c r="S60" i="1"/>
  <c r="S61" i="1"/>
  <c r="S62" i="1"/>
  <c r="S63" i="1"/>
  <c r="S58" i="1"/>
  <c r="N48" i="1"/>
  <c r="J22" i="1"/>
  <c r="J23" i="1"/>
  <c r="J24" i="1"/>
  <c r="J25" i="1"/>
  <c r="J26" i="1"/>
  <c r="J27" i="1"/>
  <c r="J28" i="1"/>
  <c r="J29" i="1"/>
  <c r="J30" i="1"/>
  <c r="J21" i="1"/>
  <c r="N69" i="1"/>
  <c r="N70" i="1"/>
  <c r="N71" i="1"/>
  <c r="N72" i="1"/>
  <c r="N73" i="1"/>
  <c r="N68" i="1"/>
  <c r="N58" i="1"/>
  <c r="N59" i="1"/>
  <c r="N60" i="1"/>
  <c r="N61" i="1"/>
  <c r="N62" i="1"/>
  <c r="N63" i="1"/>
  <c r="M21" i="1"/>
  <c r="H69" i="1"/>
  <c r="H70" i="1"/>
  <c r="H71" i="1"/>
  <c r="H72" i="1"/>
  <c r="H73" i="1"/>
  <c r="H68" i="1"/>
  <c r="H58" i="1"/>
  <c r="H59" i="1"/>
  <c r="H60" i="1"/>
  <c r="H61" i="1"/>
  <c r="H62" i="1"/>
  <c r="H63" i="1"/>
  <c r="H48" i="1"/>
  <c r="H49" i="1"/>
  <c r="H50" i="1"/>
  <c r="H51" i="1"/>
  <c r="H52" i="1"/>
  <c r="H53" i="1"/>
  <c r="H35" i="1"/>
  <c r="K73" i="1"/>
  <c r="K72" i="1"/>
  <c r="K71" i="1"/>
  <c r="K70" i="1"/>
  <c r="K69" i="1"/>
  <c r="K68" i="1"/>
  <c r="K58" i="1"/>
  <c r="K48" i="1"/>
  <c r="K49" i="1"/>
  <c r="K50" i="1"/>
  <c r="K51" i="1"/>
  <c r="K52" i="1"/>
  <c r="K53" i="1"/>
  <c r="L35" i="1"/>
  <c r="L43" i="1"/>
  <c r="L36" i="1"/>
  <c r="L37" i="1"/>
  <c r="L38" i="1"/>
  <c r="L39" i="1"/>
  <c r="L40" i="1"/>
  <c r="L41" i="1"/>
  <c r="L42" i="1"/>
  <c r="K22" i="1"/>
  <c r="K23" i="1"/>
  <c r="K24" i="1"/>
  <c r="K25" i="1"/>
  <c r="K26" i="1"/>
  <c r="K27" i="1"/>
  <c r="K28" i="1"/>
  <c r="K29" i="1"/>
  <c r="K30" i="1"/>
  <c r="K21" i="1"/>
  <c r="N49" i="1"/>
  <c r="N50" i="1"/>
  <c r="N51" i="1"/>
  <c r="N52" i="1"/>
  <c r="N53" i="1"/>
  <c r="O35" i="1" l="1"/>
  <c r="D79" i="1"/>
  <c r="D80" i="1"/>
  <c r="D81" i="1"/>
  <c r="D82" i="1"/>
  <c r="D83" i="1"/>
  <c r="D78" i="1"/>
  <c r="H36" i="1"/>
  <c r="H37" i="1"/>
  <c r="H38" i="1"/>
  <c r="H39" i="1"/>
  <c r="H40" i="1"/>
  <c r="H41" i="1"/>
  <c r="H42" i="1"/>
  <c r="H43" i="1"/>
  <c r="O36" i="1" l="1"/>
  <c r="O37" i="1"/>
  <c r="O38" i="1"/>
  <c r="O39" i="1"/>
  <c r="O40" i="1"/>
  <c r="O41" i="1"/>
  <c r="O42" i="1"/>
  <c r="O43" i="1"/>
  <c r="R22" i="1"/>
  <c r="R23" i="1"/>
  <c r="R24" i="1"/>
  <c r="R25" i="1"/>
  <c r="R26" i="1"/>
  <c r="R27" i="1"/>
  <c r="R28" i="1"/>
  <c r="R29" i="1"/>
  <c r="R30" i="1"/>
  <c r="M22" i="1"/>
  <c r="M23" i="1"/>
  <c r="M24" i="1"/>
  <c r="M25" i="1"/>
  <c r="M26" i="1"/>
  <c r="M27" i="1"/>
  <c r="M28" i="1"/>
  <c r="M29" i="1"/>
  <c r="M30" i="1"/>
  <c r="H22" i="1"/>
  <c r="H23" i="1"/>
  <c r="H24" i="1"/>
  <c r="H25" i="1"/>
  <c r="H26" i="1"/>
  <c r="H27" i="1"/>
  <c r="H28" i="1"/>
  <c r="H29" i="1"/>
  <c r="H30" i="1"/>
  <c r="I21" i="1" l="1"/>
  <c r="O69" i="1"/>
  <c r="O70" i="1"/>
  <c r="O71" i="1"/>
  <c r="O72" i="1"/>
  <c r="O73" i="1"/>
  <c r="O59" i="1"/>
  <c r="O60" i="1"/>
  <c r="O61" i="1"/>
  <c r="O62" i="1"/>
  <c r="O63" i="1"/>
  <c r="N24" i="1"/>
  <c r="N25" i="1"/>
  <c r="N26" i="1"/>
  <c r="N27" i="1"/>
  <c r="N28" i="1"/>
  <c r="N29" i="1"/>
  <c r="N30" i="1"/>
  <c r="N21" i="1"/>
  <c r="I24" i="1"/>
  <c r="I25" i="1"/>
  <c r="I26" i="1"/>
  <c r="I27" i="1"/>
  <c r="I28" i="1"/>
  <c r="I29" i="1"/>
  <c r="I30" i="1"/>
  <c r="I36" i="1"/>
  <c r="I38" i="1"/>
  <c r="I39" i="1"/>
  <c r="I40" i="1"/>
  <c r="I41" i="1"/>
  <c r="I42" i="1"/>
  <c r="I43" i="1"/>
  <c r="I49" i="1"/>
  <c r="I50" i="1"/>
  <c r="I52" i="1"/>
  <c r="I53" i="1"/>
  <c r="I59" i="1"/>
  <c r="I60" i="1"/>
  <c r="I61" i="1"/>
  <c r="I62" i="1"/>
  <c r="I63" i="1"/>
  <c r="I69" i="1"/>
  <c r="I70" i="1"/>
  <c r="I71" i="1"/>
  <c r="I72" i="1"/>
  <c r="I73" i="1"/>
  <c r="P36" i="1"/>
  <c r="P38" i="1"/>
  <c r="P39" i="1"/>
  <c r="P40" i="1"/>
  <c r="P41" i="1"/>
  <c r="P42" i="1"/>
  <c r="P43" i="1"/>
  <c r="J59" i="1"/>
  <c r="J60" i="1"/>
  <c r="J61" i="1"/>
  <c r="J62" i="1"/>
  <c r="J63" i="1"/>
  <c r="J58" i="1"/>
  <c r="P60" i="1"/>
  <c r="P70" i="1"/>
  <c r="P69" i="1"/>
  <c r="P71" i="1"/>
  <c r="P72" i="1"/>
  <c r="P73" i="1"/>
  <c r="P68" i="1"/>
  <c r="O68" i="1"/>
  <c r="P59" i="1"/>
  <c r="P61" i="1"/>
  <c r="P62" i="1"/>
  <c r="P63" i="1"/>
  <c r="P58" i="1"/>
  <c r="O21" i="1"/>
  <c r="O58" i="1"/>
  <c r="J69" i="1"/>
  <c r="J70" i="1"/>
  <c r="J71" i="1"/>
  <c r="J72" i="1"/>
  <c r="J73" i="1"/>
  <c r="J68" i="1"/>
  <c r="S24" i="1"/>
  <c r="S25" i="1"/>
  <c r="S26" i="1"/>
  <c r="S27" i="1"/>
  <c r="S28" i="1"/>
  <c r="S29" i="1"/>
  <c r="S30" i="1"/>
  <c r="D38" i="1"/>
  <c r="D39" i="1"/>
  <c r="D40" i="1"/>
  <c r="D41" i="1"/>
  <c r="D42" i="1"/>
  <c r="D43" i="1"/>
  <c r="O52" i="1"/>
  <c r="O53" i="1"/>
  <c r="J49" i="1"/>
  <c r="J50" i="1"/>
  <c r="J51" i="1"/>
  <c r="J52" i="1"/>
  <c r="J53" i="1"/>
  <c r="J48" i="1"/>
  <c r="O49" i="1"/>
  <c r="J36" i="1"/>
  <c r="J37" i="1"/>
  <c r="J38" i="1"/>
  <c r="J39" i="1"/>
  <c r="J40" i="1"/>
  <c r="J41" i="1"/>
  <c r="J42" i="1"/>
  <c r="J43" i="1"/>
  <c r="J35" i="1"/>
  <c r="K36" i="1"/>
  <c r="K37" i="1"/>
  <c r="K38" i="1"/>
  <c r="K39" i="1"/>
  <c r="K40" i="1"/>
  <c r="K41" i="1"/>
  <c r="K42" i="1"/>
  <c r="K43" i="1"/>
  <c r="K35" i="1"/>
  <c r="O28" i="1"/>
  <c r="O29" i="1"/>
  <c r="O30" i="1"/>
  <c r="O23" i="1"/>
  <c r="O24" i="1"/>
  <c r="O25" i="1"/>
  <c r="O26" i="1"/>
  <c r="O27" i="1"/>
  <c r="D26" i="1"/>
  <c r="D25" i="1"/>
  <c r="T70" i="1"/>
  <c r="T71" i="1"/>
  <c r="T72" i="1"/>
  <c r="T73" i="1"/>
  <c r="T60" i="1"/>
  <c r="T61" i="1"/>
  <c r="T62" i="1"/>
  <c r="T63" i="1"/>
  <c r="D22" i="1"/>
  <c r="N22" i="1" s="1"/>
  <c r="D23" i="1"/>
  <c r="I23" i="1" s="1"/>
  <c r="D24" i="1"/>
  <c r="D27" i="1"/>
  <c r="D28" i="1"/>
  <c r="D29" i="1"/>
  <c r="D30" i="1"/>
  <c r="N23" i="1" l="1"/>
  <c r="I22" i="1"/>
  <c r="D84" i="1"/>
  <c r="D36" i="1" l="1"/>
  <c r="D37" i="1"/>
  <c r="I37" i="1" s="1"/>
  <c r="P37" i="1" s="1"/>
  <c r="D59" i="1"/>
  <c r="D60" i="1"/>
  <c r="D61" i="1"/>
  <c r="D62" i="1"/>
  <c r="D63" i="1"/>
  <c r="D69" i="1"/>
  <c r="D70" i="1"/>
  <c r="D71" i="1"/>
  <c r="D72" i="1"/>
  <c r="D73" i="1"/>
  <c r="D49" i="1"/>
  <c r="D50" i="1"/>
  <c r="O50" i="1" s="1"/>
  <c r="D51" i="1"/>
  <c r="I51" i="1" s="1"/>
  <c r="O51" i="1" s="1"/>
  <c r="D52" i="1"/>
  <c r="D53" i="1"/>
  <c r="D68" i="1"/>
  <c r="I68" i="1" s="1"/>
  <c r="D58" i="1"/>
  <c r="I58" i="1" s="1"/>
  <c r="D48" i="1"/>
  <c r="I48" i="1" s="1"/>
  <c r="D35" i="1"/>
  <c r="I35" i="1" s="1"/>
  <c r="P35" i="1" s="1"/>
  <c r="T69" i="1" l="1"/>
  <c r="T59" i="1"/>
  <c r="T68" i="1"/>
  <c r="O48" i="1"/>
  <c r="S23" i="1"/>
  <c r="S22" i="1"/>
  <c r="S21" i="1" l="1"/>
  <c r="T74" i="1"/>
  <c r="O54" i="1" l="1"/>
  <c r="P44" i="1"/>
  <c r="S31" i="1"/>
  <c r="T58" i="1"/>
  <c r="T64" i="1" l="1"/>
  <c r="G14" i="1" s="1"/>
  <c r="G15" i="1" l="1"/>
</calcChain>
</file>

<file path=xl/sharedStrings.xml><?xml version="1.0" encoding="utf-8"?>
<sst xmlns="http://schemas.openxmlformats.org/spreadsheetml/2006/main" count="477" uniqueCount="109">
  <si>
    <t>Total</t>
  </si>
  <si>
    <t>Zielstaat</t>
  </si>
  <si>
    <t>Aktivitätstypen (Langzeit)</t>
  </si>
  <si>
    <t>Aktivitätstypen (Kurzzeit)</t>
  </si>
  <si>
    <t>Entfernungskategorie TPM</t>
  </si>
  <si>
    <t>Dänemark</t>
  </si>
  <si>
    <t>Irland</t>
  </si>
  <si>
    <t>Luxemburg</t>
  </si>
  <si>
    <t>Niederlande</t>
  </si>
  <si>
    <t>Österreich</t>
  </si>
  <si>
    <t>Schweden</t>
  </si>
  <si>
    <t>Liechtenstein</t>
  </si>
  <si>
    <t>Norwegen</t>
  </si>
  <si>
    <t>Belgien</t>
  </si>
  <si>
    <t>Frankreich</t>
  </si>
  <si>
    <t>Italien</t>
  </si>
  <si>
    <t>Finnland</t>
  </si>
  <si>
    <t>Island</t>
  </si>
  <si>
    <t>Tschechische Republik</t>
  </si>
  <si>
    <t>Griechenland</t>
  </si>
  <si>
    <t>Spanien</t>
  </si>
  <si>
    <t>Zypern</t>
  </si>
  <si>
    <t>Malta</t>
  </si>
  <si>
    <t>Portugal</t>
  </si>
  <si>
    <t>Slowenien</t>
  </si>
  <si>
    <t>Bulgarien</t>
  </si>
  <si>
    <t>Estland</t>
  </si>
  <si>
    <t>Kroatien</t>
  </si>
  <si>
    <t>Lettland</t>
  </si>
  <si>
    <t>Litauen</t>
  </si>
  <si>
    <t>Ungarn</t>
  </si>
  <si>
    <t>Polen</t>
  </si>
  <si>
    <t>Rumänien</t>
  </si>
  <si>
    <t>Slowakei</t>
  </si>
  <si>
    <t>Türkei</t>
  </si>
  <si>
    <t>AUL</t>
  </si>
  <si>
    <t>Langzeit Schüler</t>
  </si>
  <si>
    <t>AUL Programmländer</t>
  </si>
  <si>
    <t>Nord-Mazedonien</t>
  </si>
  <si>
    <t>Green Travel</t>
  </si>
  <si>
    <t>ja</t>
  </si>
  <si>
    <t>nein</t>
  </si>
  <si>
    <t>Green Travel 
ja/nein</t>
  </si>
  <si>
    <t>kein Green Travel in diesem Entfernungsband</t>
  </si>
  <si>
    <t>ERASMUS+ KA1 MOBILITÄTSRECHNER</t>
  </si>
  <si>
    <t>Job-Shadowing</t>
  </si>
  <si>
    <t>100-499 km</t>
  </si>
  <si>
    <t>500-1.999 km</t>
  </si>
  <si>
    <t>2.000-2.999 km</t>
  </si>
  <si>
    <t>3.000-3.999 km</t>
  </si>
  <si>
    <t>4.000-7.999 km</t>
  </si>
  <si>
    <t>8.000 km und mehr</t>
  </si>
  <si>
    <t>10-99 km</t>
  </si>
  <si>
    <t>Mobilitätsrechner</t>
  </si>
  <si>
    <t xml:space="preserve">Für Zuschussempfänger in Leitaktion 1 akkreditierte Projekte und Kurzzeitprojekte </t>
  </si>
  <si>
    <t>Kurzzeit Personal</t>
  </si>
  <si>
    <t>Gruppenmobilität von Schülerinnen und Schülern</t>
  </si>
  <si>
    <t>Kurse und Schulungen</t>
  </si>
  <si>
    <t xml:space="preserve">Kurzzeitmobilität von Schülern und Schülerinnen </t>
  </si>
  <si>
    <t xml:space="preserve">Langzeitzeitmobilität von Schülern und Schülerinnen </t>
  </si>
  <si>
    <t>Lehr- oder Ausbildungstätigkeiten</t>
  </si>
  <si>
    <t>Kurzzeit Schüler</t>
  </si>
  <si>
    <t>Anzahl Schüler*innen</t>
  </si>
  <si>
    <t>Zuschuss pro Begleitperson</t>
  </si>
  <si>
    <t xml:space="preserve">Zuschuss </t>
  </si>
  <si>
    <t>Anzahl Teilnehmende</t>
  </si>
  <si>
    <t>Aktivitätsdauer (in Tagen)</t>
  </si>
  <si>
    <t xml:space="preserve">Reisetage </t>
  </si>
  <si>
    <t>Kurskosten</t>
  </si>
  <si>
    <t>Zuschuss Mobilität</t>
  </si>
  <si>
    <t>Entfernungs-kategorie</t>
  </si>
  <si>
    <t>Langzeit Personal</t>
  </si>
  <si>
    <t>Anzahl Reisende</t>
  </si>
  <si>
    <t>Inklusions-pauschale</t>
  </si>
  <si>
    <t>Organisations-pauschale</t>
  </si>
  <si>
    <t>Aufenthalts-zuschuss pro TN</t>
  </si>
  <si>
    <t>Aufenthalts-kosten TN</t>
  </si>
  <si>
    <t xml:space="preserve">Anzahl Begleit-personen </t>
  </si>
  <si>
    <t>Aufenthalts-kosten Begleitperson</t>
  </si>
  <si>
    <t>Reisekosten-zuschuss pro TN</t>
  </si>
  <si>
    <t>Nr.</t>
  </si>
  <si>
    <t>Nr</t>
  </si>
  <si>
    <t>Zuschussrechner</t>
  </si>
  <si>
    <t>Zuschuss aus Mobilitätsrechner</t>
  </si>
  <si>
    <t>Differenz (verbleibende Mittel)</t>
  </si>
  <si>
    <t>Automatische Berechnung anhand der unten angelegten Mobilitäten</t>
  </si>
  <si>
    <t>Aufenthalts-zuschuss TN</t>
  </si>
  <si>
    <t>Anzahl Begleitperso-nen / begleitende Lehrkräfte</t>
  </si>
  <si>
    <t>Pädagogischer Austauschdienst - Nationale Agentur Erasmus+ Schulbildung (DE03)</t>
  </si>
  <si>
    <t>Zuschuss laut Finanzhilfevereinbarung</t>
  </si>
  <si>
    <t xml:space="preserve">Kurzzeitmobilität von einzelnen Schülern und Schülerinnen </t>
  </si>
  <si>
    <t xml:space="preserve">Langzeitmobilität von einzelnen Schülern und Schülerinnen </t>
  </si>
  <si>
    <t>davon mit Inklusions-zuschuss</t>
  </si>
  <si>
    <t>Vorbereitende Besuche</t>
  </si>
  <si>
    <t>Aktivitätstyp</t>
  </si>
  <si>
    <t>Zuschuss</t>
  </si>
  <si>
    <t>Anzahl Teil-nehmende</t>
  </si>
  <si>
    <t>Zur Berechnung von Zuschüssen, die auf Unit Costs basieren. Alle Angaben in EUR. Nutzung ohne Gewähr, es gelten die Sätze gemäß Anhang 3, Finanzhilfevereinbarung und die Regeln gemäß Programmleitfaden.</t>
  </si>
  <si>
    <t>Call</t>
  </si>
  <si>
    <t>Serbien</t>
  </si>
  <si>
    <t>OK</t>
  </si>
  <si>
    <t>Aufenthaltstage gesamt</t>
  </si>
  <si>
    <t>Aufenthaltsdauer Begleitperson in Tagen einschließlich Anreise</t>
  </si>
  <si>
    <t>Bitte wählen Sie im Drop-Down zunächst das Jahr aus, in dem Sie Ihren Antrag auf Mittelanforderung oder Ihren Kurzzeitprojektantrag gestellt haben (erkennbar an der Jahreszahl in Ihrer Projektnummer).</t>
  </si>
  <si>
    <t>Antragsjahr</t>
  </si>
  <si>
    <t>kein Green Travel in dieser Entfernungskategorie</t>
  </si>
  <si>
    <t>Version 2.3 vom 10.02.2025</t>
  </si>
  <si>
    <t>Geben Sie hier den letzten bewilligten Zuschuss laut Finanzhilfevereinbarung bzw. der letzten Vertragsergänzung ein.</t>
  </si>
  <si>
    <t>Inoffizielles Erklärvideo des ISB - bitte Zelle B2 klicken!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</si>
</sst>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_-* #,##0_-;\-* #,##0_-;_-* &quot;-&quot;??_-;_-@_-"/>
    <numFmt numFmtId="166" formatCode="#,##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Arial"/>
      <family val="2"/>
    </font>
    <font>
      <u/>
      <sz val="20"/>
      <color theme="10"/>
      <name val="Calibri"/>
      <family val="2"/>
      <scheme val="minor"/>
    </font>
    <font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1">
    <xf numFmtId="0" fontId="0" fillId="0" borderId="0" xfId="0"/>
    <xf numFmtId="0" fontId="7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164" fontId="10" fillId="2" borderId="1" xfId="2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4" borderId="2" xfId="0" applyFont="1" applyFill="1" applyBorder="1" applyAlignment="1">
      <alignment vertical="center"/>
    </xf>
    <xf numFmtId="165" fontId="8" fillId="4" borderId="2" xfId="4" applyNumberFormat="1" applyFont="1" applyFill="1" applyBorder="1" applyAlignment="1" applyProtection="1">
      <alignment vertical="center"/>
    </xf>
    <xf numFmtId="165" fontId="8" fillId="4" borderId="2" xfId="0" applyNumberFormat="1" applyFont="1" applyFill="1" applyBorder="1" applyAlignment="1">
      <alignment vertical="center"/>
    </xf>
    <xf numFmtId="0" fontId="13" fillId="3" borderId="4" xfId="3" applyFont="1" applyBorder="1" applyAlignment="1" applyProtection="1">
      <alignment vertical="center"/>
      <protection locked="0"/>
    </xf>
    <xf numFmtId="0" fontId="13" fillId="3" borderId="5" xfId="3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64" fontId="8" fillId="5" borderId="2" xfId="1" applyNumberFormat="1" applyFont="1" applyFill="1" applyBorder="1" applyAlignment="1" applyProtection="1">
      <alignment vertical="center"/>
    </xf>
    <xf numFmtId="166" fontId="8" fillId="5" borderId="2" xfId="4" applyNumberFormat="1" applyFont="1" applyFill="1" applyBorder="1" applyAlignment="1" applyProtection="1">
      <alignment vertical="center"/>
    </xf>
    <xf numFmtId="0" fontId="14" fillId="0" borderId="0" xfId="0" applyFont="1"/>
    <xf numFmtId="0" fontId="12" fillId="6" borderId="0" xfId="0" applyFont="1" applyFill="1" applyAlignment="1" applyProtection="1">
      <alignment horizontal="left"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5" borderId="14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left"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6" fillId="0" borderId="0" xfId="0" applyFont="1"/>
    <xf numFmtId="0" fontId="10" fillId="3" borderId="3" xfId="3" applyFont="1" applyBorder="1" applyAlignment="1" applyProtection="1">
      <alignment horizontal="left" vertical="center"/>
      <protection locked="0"/>
    </xf>
    <xf numFmtId="0" fontId="10" fillId="3" borderId="0" xfId="3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166" fontId="8" fillId="0" borderId="10" xfId="4" applyNumberFormat="1" applyFont="1" applyBorder="1" applyAlignment="1" applyProtection="1">
      <alignment horizontal="right" vertical="center"/>
      <protection locked="0"/>
    </xf>
    <xf numFmtId="166" fontId="8" fillId="0" borderId="11" xfId="4" applyNumberFormat="1" applyFont="1" applyBorder="1" applyAlignment="1" applyProtection="1">
      <alignment horizontal="right" vertical="center"/>
      <protection locked="0"/>
    </xf>
    <xf numFmtId="166" fontId="8" fillId="5" borderId="9" xfId="4" applyNumberFormat="1" applyFont="1" applyFill="1" applyBorder="1" applyAlignment="1" applyProtection="1">
      <alignment horizontal="right" vertical="center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166" fontId="8" fillId="5" borderId="2" xfId="4" applyNumberFormat="1" applyFont="1" applyFill="1" applyBorder="1" applyAlignment="1" applyProtection="1">
      <alignment horizontal="right" vertical="center"/>
    </xf>
    <xf numFmtId="0" fontId="13" fillId="3" borderId="4" xfId="3" applyFont="1" applyBorder="1" applyAlignment="1" applyProtection="1">
      <alignment horizontal="left" vertical="center"/>
      <protection locked="0"/>
    </xf>
    <xf numFmtId="0" fontId="13" fillId="3" borderId="5" xfId="3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7" borderId="12" xfId="5" applyFont="1" applyFill="1" applyBorder="1" applyAlignment="1" applyProtection="1">
      <alignment vertical="center"/>
      <protection locked="0"/>
    </xf>
    <xf numFmtId="0" fontId="21" fillId="7" borderId="13" xfId="0" applyFont="1" applyFill="1" applyBorder="1" applyAlignment="1" applyProtection="1">
      <alignment vertical="center"/>
      <protection locked="0"/>
    </xf>
    <xf numFmtId="0" fontId="4" fillId="7" borderId="14" xfId="0" applyFont="1" applyFill="1" applyBorder="1" applyAlignment="1" applyProtection="1">
      <alignment vertical="center"/>
      <protection locked="0"/>
    </xf>
  </cellXfs>
  <cellStyles count="6">
    <cellStyle name="Akzent1" xfId="3" builtinId="29"/>
    <cellStyle name="Komma" xfId="4" builtinId="3"/>
    <cellStyle name="Link" xfId="5" builtinId="8"/>
    <cellStyle name="Standard" xfId="0" builtinId="0"/>
    <cellStyle name="Währung" xfId="1" builtinId="4"/>
    <cellStyle name="Zelle überprüfen" xfId="2" builtinId="23"/>
  </cellStyles>
  <dxfs count="1">
    <dxf>
      <fill>
        <patternFill>
          <fgColor rgb="FFFF0000"/>
          <bgColor rgb="FFFF0000"/>
        </patternFill>
      </fill>
    </dxf>
  </dxfs>
  <tableStyles count="1" defaultTableStyle="TableStyleMedium2" defaultPivotStyle="PivotStyleLight16">
    <tableStyle name="Invisible" pivot="0" table="0" count="0" xr9:uid="{F9EF85BD-A6A9-4525-B698-67361B41D9E5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0Tt2vIIQhaQ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T85"/>
  <sheetViews>
    <sheetView showGridLines="0" tabSelected="1" zoomScaleNormal="70" workbookViewId="0">
      <selection activeCell="I8" sqref="I8"/>
    </sheetView>
  </sheetViews>
  <sheetFormatPr baseColWidth="10" defaultColWidth="9.1640625" defaultRowHeight="27.75" customHeight="1" x14ac:dyDescent="0.2"/>
  <cols>
    <col min="1" max="1" width="7.5" style="2" customWidth="1"/>
    <col min="2" max="2" width="20.33203125" style="2" customWidth="1"/>
    <col min="3" max="3" width="14" style="2" bestFit="1" customWidth="1"/>
    <col min="4" max="4" width="18.1640625" style="2" customWidth="1"/>
    <col min="5" max="5" width="20.1640625" style="2" customWidth="1"/>
    <col min="6" max="6" width="18.1640625" style="2" customWidth="1"/>
    <col min="7" max="7" width="14.6640625" style="2" customWidth="1"/>
    <col min="8" max="8" width="16.6640625" style="2" customWidth="1"/>
    <col min="9" max="9" width="17.1640625" style="2" customWidth="1"/>
    <col min="10" max="10" width="18" style="2" customWidth="1"/>
    <col min="11" max="11" width="17.5" style="2" customWidth="1"/>
    <col min="12" max="12" width="16.5" style="2" customWidth="1"/>
    <col min="13" max="13" width="20.5" style="2" bestFit="1" customWidth="1"/>
    <col min="14" max="14" width="17.6640625" style="2" customWidth="1"/>
    <col min="15" max="15" width="18.5" style="2" customWidth="1"/>
    <col min="16" max="16" width="17.1640625" style="2" bestFit="1" customWidth="1"/>
    <col min="17" max="17" width="18" style="2" bestFit="1" customWidth="1"/>
    <col min="18" max="18" width="17.5" style="2" customWidth="1"/>
    <col min="19" max="19" width="19.83203125" style="2" customWidth="1"/>
    <col min="20" max="20" width="19" style="2" customWidth="1"/>
    <col min="21" max="21" width="17" style="2" customWidth="1"/>
    <col min="22" max="22" width="17.1640625" style="2" bestFit="1" customWidth="1"/>
    <col min="23" max="16384" width="9.1640625" style="2"/>
  </cols>
  <sheetData>
    <row r="1" spans="1:18" ht="27.75" customHeight="1" thickBot="1" x14ac:dyDescent="0.25"/>
    <row r="2" spans="1:18" ht="27.75" customHeight="1" thickBot="1" x14ac:dyDescent="0.25">
      <c r="B2" s="48" t="s">
        <v>108</v>
      </c>
      <c r="C2" s="49"/>
      <c r="D2" s="49"/>
      <c r="E2" s="50"/>
      <c r="F2" s="50"/>
    </row>
    <row r="3" spans="1:18" ht="27.75" customHeight="1" x14ac:dyDescent="0.2">
      <c r="A3" s="47"/>
      <c r="B3" s="10"/>
      <c r="C3" s="10"/>
      <c r="D3" s="10"/>
      <c r="E3" s="10"/>
    </row>
    <row r="4" spans="1:18" ht="27.75" customHeight="1" x14ac:dyDescent="0.2">
      <c r="A4" s="35" t="s">
        <v>88</v>
      </c>
      <c r="B4" s="35"/>
      <c r="C4" s="35"/>
      <c r="D4" s="35"/>
      <c r="E4" s="35"/>
      <c r="F4" s="35"/>
      <c r="G4" s="2" t="s">
        <v>106</v>
      </c>
    </row>
    <row r="5" spans="1:18" ht="27.75" customHeight="1" x14ac:dyDescent="0.2">
      <c r="A5" s="27" t="s">
        <v>44</v>
      </c>
      <c r="B5" s="27"/>
      <c r="C5" s="27"/>
      <c r="D5" s="27"/>
      <c r="E5" s="27"/>
      <c r="F5" s="27"/>
    </row>
    <row r="6" spans="1:18" ht="27.75" customHeight="1" thickBot="1" x14ac:dyDescent="0.25">
      <c r="A6" s="28" t="s">
        <v>103</v>
      </c>
      <c r="B6" s="28"/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3"/>
      <c r="R6" s="3"/>
    </row>
    <row r="7" spans="1:18" ht="27.75" customHeight="1" thickBot="1" x14ac:dyDescent="0.25">
      <c r="A7" s="24" t="s">
        <v>104</v>
      </c>
      <c r="B7" s="25"/>
      <c r="C7" s="26">
        <v>2025</v>
      </c>
      <c r="D7" s="21"/>
      <c r="E7" s="21"/>
      <c r="F7" s="21"/>
      <c r="G7" s="22"/>
    </row>
    <row r="8" spans="1:18" ht="27.75" customHeight="1" x14ac:dyDescent="0.2">
      <c r="A8" s="27"/>
      <c r="B8" s="27"/>
      <c r="C8" s="27"/>
      <c r="D8" s="21"/>
      <c r="E8" s="21"/>
      <c r="F8" s="21"/>
      <c r="G8" s="22"/>
    </row>
    <row r="9" spans="1:18" ht="23" x14ac:dyDescent="0.2">
      <c r="A9" s="11" t="s">
        <v>54</v>
      </c>
      <c r="B9" s="27"/>
      <c r="C9" s="27"/>
      <c r="D9" s="27"/>
      <c r="E9" s="27"/>
      <c r="F9" s="27"/>
    </row>
    <row r="10" spans="1:18" ht="23" x14ac:dyDescent="0.2">
      <c r="A10" s="17" t="s">
        <v>97</v>
      </c>
      <c r="B10" s="27"/>
      <c r="C10" s="27"/>
      <c r="D10" s="27"/>
      <c r="E10" s="27"/>
      <c r="F10" s="27"/>
    </row>
    <row r="11" spans="1:18" ht="23" x14ac:dyDescent="0.2">
      <c r="A11" s="17"/>
      <c r="B11" s="27"/>
      <c r="C11" s="27"/>
      <c r="D11" s="27"/>
      <c r="E11" s="27"/>
      <c r="F11" s="27"/>
    </row>
    <row r="12" spans="1:18" ht="24" thickBot="1" x14ac:dyDescent="0.25">
      <c r="A12" s="33" t="s">
        <v>82</v>
      </c>
      <c r="B12" s="34"/>
      <c r="C12" s="34"/>
      <c r="D12" s="34"/>
      <c r="E12" s="34"/>
      <c r="F12" s="34"/>
      <c r="G12" s="34"/>
      <c r="H12" s="34"/>
    </row>
    <row r="13" spans="1:18" ht="30" customHeight="1" thickBot="1" x14ac:dyDescent="0.25">
      <c r="A13" s="42" t="s">
        <v>89</v>
      </c>
      <c r="B13" s="43"/>
      <c r="C13" s="43"/>
      <c r="D13" s="43"/>
      <c r="E13" s="43"/>
      <c r="F13" s="43"/>
      <c r="G13" s="39">
        <v>30000</v>
      </c>
      <c r="H13" s="40"/>
      <c r="I13" s="23" t="s">
        <v>107</v>
      </c>
    </row>
    <row r="14" spans="1:18" ht="30" customHeight="1" x14ac:dyDescent="0.2">
      <c r="A14" s="36" t="s">
        <v>83</v>
      </c>
      <c r="B14" s="37"/>
      <c r="C14" s="37"/>
      <c r="D14" s="37"/>
      <c r="E14" s="37"/>
      <c r="F14" s="38"/>
      <c r="G14" s="41">
        <f ca="1">S31+P44+O54+T64+T74+D84</f>
        <v>41163</v>
      </c>
      <c r="H14" s="41"/>
      <c r="I14" s="2" t="s">
        <v>85</v>
      </c>
    </row>
    <row r="15" spans="1:18" ht="30" customHeight="1" x14ac:dyDescent="0.2">
      <c r="A15" s="36" t="s">
        <v>84</v>
      </c>
      <c r="B15" s="37"/>
      <c r="C15" s="37"/>
      <c r="D15" s="37"/>
      <c r="E15" s="37"/>
      <c r="F15" s="38"/>
      <c r="G15" s="44">
        <f ca="1">G13-G14</f>
        <v>-11163</v>
      </c>
      <c r="H15" s="44"/>
    </row>
    <row r="17" spans="1:19" ht="27.75" customHeight="1" x14ac:dyDescent="0.2">
      <c r="A17" s="33" t="s">
        <v>53</v>
      </c>
      <c r="B17" s="34"/>
      <c r="C17" s="34"/>
      <c r="D17" s="34"/>
      <c r="E17" s="34"/>
      <c r="F17" s="34"/>
      <c r="G17" s="34"/>
      <c r="H17" s="34"/>
    </row>
    <row r="18" spans="1:19" ht="27.75" customHeight="1" x14ac:dyDescent="0.2">
      <c r="A18" s="3"/>
    </row>
    <row r="19" spans="1:19" ht="27.75" customHeight="1" x14ac:dyDescent="0.2">
      <c r="A19" s="45" t="s">
        <v>56</v>
      </c>
      <c r="B19" s="46"/>
      <c r="C19" s="46"/>
      <c r="D19" s="46"/>
      <c r="E19" s="46"/>
      <c r="F19" s="46"/>
      <c r="G19" s="46"/>
    </row>
    <row r="20" spans="1:19" ht="84" customHeight="1" x14ac:dyDescent="0.2">
      <c r="A20" s="7" t="s">
        <v>80</v>
      </c>
      <c r="B20" s="8" t="s">
        <v>66</v>
      </c>
      <c r="C20" s="8" t="s">
        <v>67</v>
      </c>
      <c r="D20" s="8" t="s">
        <v>101</v>
      </c>
      <c r="E20" s="8" t="s">
        <v>1</v>
      </c>
      <c r="F20" s="8" t="s">
        <v>62</v>
      </c>
      <c r="G20" s="8" t="s">
        <v>92</v>
      </c>
      <c r="H20" s="8" t="s">
        <v>75</v>
      </c>
      <c r="I20" s="8" t="s">
        <v>86</v>
      </c>
      <c r="J20" s="8" t="s">
        <v>74</v>
      </c>
      <c r="K20" s="8" t="s">
        <v>73</v>
      </c>
      <c r="L20" s="8" t="s">
        <v>87</v>
      </c>
      <c r="M20" s="8" t="s">
        <v>63</v>
      </c>
      <c r="N20" s="8" t="s">
        <v>78</v>
      </c>
      <c r="O20" s="8" t="s">
        <v>72</v>
      </c>
      <c r="P20" s="8" t="s">
        <v>70</v>
      </c>
      <c r="Q20" s="8" t="s">
        <v>42</v>
      </c>
      <c r="R20" s="8" t="s">
        <v>79</v>
      </c>
      <c r="S20" s="8" t="s">
        <v>69</v>
      </c>
    </row>
    <row r="21" spans="1:19" ht="30" customHeight="1" x14ac:dyDescent="0.2">
      <c r="A21" s="4">
        <v>1</v>
      </c>
      <c r="B21" s="9">
        <v>5</v>
      </c>
      <c r="C21" s="9">
        <v>2</v>
      </c>
      <c r="D21" s="12">
        <f t="shared" ref="D21:D30" si="0">IF((B21&gt;0),B21+C21,"")</f>
        <v>7</v>
      </c>
      <c r="E21" s="9" t="s">
        <v>14</v>
      </c>
      <c r="F21" s="9">
        <v>20</v>
      </c>
      <c r="G21" s="9">
        <v>5</v>
      </c>
      <c r="H21" s="13">
        <f>IF(($E21&lt;&gt;""),VLOOKUP($E21,IF(($C$7&lt;2024),(Budget!$H$2:$I$33),(Budget2024!$H$2:$I$33)),2,FALSE),0)</f>
        <v>68</v>
      </c>
      <c r="I21" s="13">
        <f>IF((B21&gt;0),(IF((D21&lt;=14),(D21*F21*H21),(14*F21*H21)+(D21-14)*F21*ROUND(0.7*H21,0))),0)</f>
        <v>9520</v>
      </c>
      <c r="J21" s="13">
        <f>IF(($C$7&lt;2024),(IF((F21&gt;0),IF((F21&lt;=10), (F21*100),1000),0)),(IF((F21&gt;0), (F21*100),0)))</f>
        <v>2000</v>
      </c>
      <c r="K21" s="13">
        <f>IF(($C$7&lt;2024),(IF((G21&gt;0),(G21*100),0)),(IF((G21&gt;0),(G21*125),0)))</f>
        <v>625</v>
      </c>
      <c r="L21" s="9">
        <v>3</v>
      </c>
      <c r="M21" s="13">
        <f>IF(($E21&lt;&gt;""),VLOOKUP($E21,IF(($C$7&lt;2024),(Budget!$D$2:$E$33),(Budget2024!$D$2:$E$33)),2,FALSE),0)</f>
        <v>153</v>
      </c>
      <c r="N21" s="14">
        <f>IF((B21&gt;0),(IF((D21&lt;=14),(D21*L21*M21),(14*L21*M21)+(D21-14)*L21*ROUND(0.7*M21,0))),0)</f>
        <v>3213</v>
      </c>
      <c r="O21" s="13">
        <f t="shared" ref="O21:O26" si="1">IF((F21&gt;0),F21+L21,0)</f>
        <v>23</v>
      </c>
      <c r="P21" s="9" t="s">
        <v>47</v>
      </c>
      <c r="Q21" s="9" t="s">
        <v>40</v>
      </c>
      <c r="R21" s="13">
        <f>IF(($C$7&lt;2024),(IF((Q21="ja"),(IF(P21&lt;&gt;"",VLOOKUP(P21,Budget!$N$2:$O$8,2,FALSE),"")),(IF(P21&lt;&gt;"",VLOOKUP(P21,Budget!$L$2:$M$8,2,FALSE),0)))),(IF((Q21="ja"),(IF(P21&lt;&gt;"",VLOOKUP(P21,Budget2024!$N$2:$O$8,2,FALSE),"")),(IF(P21&lt;&gt;"",VLOOKUP(P21,Budget2024!$L$2:$M$8,2,FALSE),0)))))</f>
        <v>417</v>
      </c>
      <c r="S21" s="19">
        <f>IF((B21&gt;0),I21+N21+J21+K21+(O21*R21),"")</f>
        <v>24949</v>
      </c>
    </row>
    <row r="22" spans="1:19" ht="30" customHeight="1" x14ac:dyDescent="0.2">
      <c r="A22" s="4">
        <v>2</v>
      </c>
      <c r="B22" s="9"/>
      <c r="C22" s="9"/>
      <c r="D22" s="12" t="str">
        <f t="shared" si="0"/>
        <v/>
      </c>
      <c r="E22" s="9"/>
      <c r="F22" s="9"/>
      <c r="G22" s="9"/>
      <c r="H22" s="13">
        <f>IF(($E22&lt;&gt;""),VLOOKUP($E22,IF(($C$7&lt;2024),(Budget!$H$2:$I$33),(Budget2024!$H$2:$I$33)),2,FALSE),0)</f>
        <v>0</v>
      </c>
      <c r="I22" s="13">
        <f t="shared" ref="I22:I30" si="2">IF((B22&gt;0),(IF((D22&lt;=14),(D22*F22*H22),(14*F22*H22)+(D22-14)*F22*ROUND(0.7*H22,0))),0)</f>
        <v>0</v>
      </c>
      <c r="J22" s="13">
        <f t="shared" ref="J22:J30" si="3">IF(($C$7&lt;2024),(IF((F22&gt;0),IF((F22&lt;=10), (F22*100),1000),0)),(IF((F22&gt;0), (F22*100),0)))</f>
        <v>0</v>
      </c>
      <c r="K22" s="13">
        <f t="shared" ref="K22:K30" si="4">IF(($C$7&lt;2024),(IF((G22&gt;0),(G22*100),0)),(IF((G22&gt;0),(G22*125),0)))</f>
        <v>0</v>
      </c>
      <c r="L22" s="9"/>
      <c r="M22" s="13">
        <f>IF(($E22&lt;&gt;""),VLOOKUP($E22,IF(($C$7&lt;2024),(Budget!$D$2:$E$33),(Budget2024!$D$2:$E$33)),2,FALSE),0)</f>
        <v>0</v>
      </c>
      <c r="N22" s="14">
        <f t="shared" ref="N22:N30" si="5">IF((B22&gt;0),(IF((D22&lt;=14),(D22*L22*M22),(14*L22*M22)+(D22-14)*L22*ROUND(0.7*M22,0))),0)</f>
        <v>0</v>
      </c>
      <c r="O22" s="13">
        <f t="shared" si="1"/>
        <v>0</v>
      </c>
      <c r="P22" s="9"/>
      <c r="Q22" s="9"/>
      <c r="R22" s="13">
        <f>IF(($C$7&lt;2024),(IF((Q22="ja"),(IF(P22&lt;&gt;"",VLOOKUP(P22,Budget!$N$2:$O$8,2,FALSE),"")),(IF(P22&lt;&gt;"",VLOOKUP(P22,Budget!$L$2:$M$8,2,FALSE),0)))),(IF((Q22="ja"),(IF(P22&lt;&gt;"",VLOOKUP(P22,Budget2024!$N$2:$O$8,2,FALSE),"")),(IF(P22&lt;&gt;"",VLOOKUP(P22,Budget2024!$L$2:$M$8,2,FALSE),0)))))</f>
        <v>0</v>
      </c>
      <c r="S22" s="19" t="str">
        <f t="shared" ref="S22:S30" si="6">IF((B22&gt;0),I22+N22+J22+K22+(O22*R22),"")</f>
        <v/>
      </c>
    </row>
    <row r="23" spans="1:19" ht="30" customHeight="1" x14ac:dyDescent="0.2">
      <c r="A23" s="4">
        <v>3</v>
      </c>
      <c r="B23" s="9"/>
      <c r="C23" s="9"/>
      <c r="D23" s="12" t="str">
        <f t="shared" si="0"/>
        <v/>
      </c>
      <c r="E23" s="9"/>
      <c r="F23" s="9"/>
      <c r="G23" s="9"/>
      <c r="H23" s="13">
        <f>IF(($E23&lt;&gt;""),VLOOKUP($E23,IF(($C$7&lt;2024),(Budget!$H$2:$I$33),(Budget2024!$H$2:$I$33)),2,FALSE),0)</f>
        <v>0</v>
      </c>
      <c r="I23" s="13">
        <f t="shared" si="2"/>
        <v>0</v>
      </c>
      <c r="J23" s="13">
        <f t="shared" si="3"/>
        <v>0</v>
      </c>
      <c r="K23" s="13">
        <f t="shared" si="4"/>
        <v>0</v>
      </c>
      <c r="L23" s="9"/>
      <c r="M23" s="13">
        <f>IF(($E23&lt;&gt;""),VLOOKUP($E23,IF(($C$7&lt;2024),(Budget!$D$2:$E$33),(Budget2024!$D$2:$E$33)),2,FALSE),0)</f>
        <v>0</v>
      </c>
      <c r="N23" s="14">
        <f t="shared" si="5"/>
        <v>0</v>
      </c>
      <c r="O23" s="13">
        <f t="shared" si="1"/>
        <v>0</v>
      </c>
      <c r="P23" s="9"/>
      <c r="Q23" s="9"/>
      <c r="R23" s="13">
        <f>IF(($C$7&lt;2024),(IF((Q23="ja"),(IF(P23&lt;&gt;"",VLOOKUP(P23,Budget!$N$2:$O$8,2,FALSE),"")),(IF(P23&lt;&gt;"",VLOOKUP(P23,Budget!$L$2:$M$8,2,FALSE),0)))),(IF((Q23="ja"),(IF(P23&lt;&gt;"",VLOOKUP(P23,Budget2024!$N$2:$O$8,2,FALSE),"")),(IF(P23&lt;&gt;"",VLOOKUP(P23,Budget2024!$L$2:$M$8,2,FALSE),0)))))</f>
        <v>0</v>
      </c>
      <c r="S23" s="19" t="str">
        <f t="shared" si="6"/>
        <v/>
      </c>
    </row>
    <row r="24" spans="1:19" ht="30" customHeight="1" x14ac:dyDescent="0.2">
      <c r="A24" s="4">
        <v>4</v>
      </c>
      <c r="B24" s="9"/>
      <c r="C24" s="9"/>
      <c r="D24" s="12" t="str">
        <f t="shared" si="0"/>
        <v/>
      </c>
      <c r="E24" s="9"/>
      <c r="F24" s="9"/>
      <c r="G24" s="9"/>
      <c r="H24" s="13">
        <f>IF(($E24&lt;&gt;""),VLOOKUP($E24,IF(($C$7&lt;2024),(Budget!$H$2:$I$33),(Budget2024!$H$2:$I$33)),2,FALSE),0)</f>
        <v>0</v>
      </c>
      <c r="I24" s="13">
        <f t="shared" si="2"/>
        <v>0</v>
      </c>
      <c r="J24" s="13">
        <f t="shared" si="3"/>
        <v>0</v>
      </c>
      <c r="K24" s="13">
        <f t="shared" si="4"/>
        <v>0</v>
      </c>
      <c r="L24" s="9"/>
      <c r="M24" s="13">
        <f>IF(($E24&lt;&gt;""),VLOOKUP($E24,IF(($C$7&lt;2024),(Budget!$D$2:$E$33),(Budget2024!$D$2:$E$33)),2,FALSE),0)</f>
        <v>0</v>
      </c>
      <c r="N24" s="14">
        <f t="shared" si="5"/>
        <v>0</v>
      </c>
      <c r="O24" s="13">
        <f t="shared" si="1"/>
        <v>0</v>
      </c>
      <c r="P24" s="9"/>
      <c r="Q24" s="9"/>
      <c r="R24" s="13">
        <f>IF(($C$7&lt;2024),(IF((Q24="ja"),(IF(P24&lt;&gt;"",VLOOKUP(P24,Budget!$N$2:$O$8,2,FALSE),"")),(IF(P24&lt;&gt;"",VLOOKUP(P24,Budget!$L$2:$M$8,2,FALSE),0)))),(IF((Q24="ja"),(IF(P24&lt;&gt;"",VLOOKUP(P24,Budget2024!$N$2:$O$8,2,FALSE),"")),(IF(P24&lt;&gt;"",VLOOKUP(P24,Budget2024!$L$2:$M$8,2,FALSE),0)))))</f>
        <v>0</v>
      </c>
      <c r="S24" s="19" t="str">
        <f t="shared" si="6"/>
        <v/>
      </c>
    </row>
    <row r="25" spans="1:19" ht="30" customHeight="1" x14ac:dyDescent="0.2">
      <c r="A25" s="4">
        <v>5</v>
      </c>
      <c r="B25" s="9"/>
      <c r="C25" s="9"/>
      <c r="D25" s="12" t="str">
        <f t="shared" si="0"/>
        <v/>
      </c>
      <c r="E25" s="9"/>
      <c r="F25" s="9"/>
      <c r="G25" s="9"/>
      <c r="H25" s="13">
        <f>IF(($E25&lt;&gt;""),VLOOKUP($E25,IF(($C$7&lt;2024),(Budget!$H$2:$I$33),(Budget2024!$H$2:$I$33)),2,FALSE),0)</f>
        <v>0</v>
      </c>
      <c r="I25" s="13">
        <f t="shared" si="2"/>
        <v>0</v>
      </c>
      <c r="J25" s="13">
        <f t="shared" si="3"/>
        <v>0</v>
      </c>
      <c r="K25" s="13">
        <f t="shared" si="4"/>
        <v>0</v>
      </c>
      <c r="L25" s="9"/>
      <c r="M25" s="13">
        <f>IF(($E25&lt;&gt;""),VLOOKUP($E25,IF(($C$7&lt;2024),(Budget!$D$2:$E$33),(Budget2024!$D$2:$E$33)),2,FALSE),0)</f>
        <v>0</v>
      </c>
      <c r="N25" s="14">
        <f t="shared" si="5"/>
        <v>0</v>
      </c>
      <c r="O25" s="13">
        <f t="shared" si="1"/>
        <v>0</v>
      </c>
      <c r="P25" s="9"/>
      <c r="Q25" s="9"/>
      <c r="R25" s="13">
        <f>IF(($C$7&lt;2024),(IF((Q25="ja"),(IF(P25&lt;&gt;"",VLOOKUP(P25,Budget!$N$2:$O$8,2,FALSE),"")),(IF(P25&lt;&gt;"",VLOOKUP(P25,Budget!$L$2:$M$8,2,FALSE),0)))),(IF((Q25="ja"),(IF(P25&lt;&gt;"",VLOOKUP(P25,Budget2024!$N$2:$O$8,2,FALSE),"")),(IF(P25&lt;&gt;"",VLOOKUP(P25,Budget2024!$L$2:$M$8,2,FALSE),0)))))</f>
        <v>0</v>
      </c>
      <c r="S25" s="19" t="str">
        <f t="shared" si="6"/>
        <v/>
      </c>
    </row>
    <row r="26" spans="1:19" ht="30" customHeight="1" x14ac:dyDescent="0.2">
      <c r="A26" s="4"/>
      <c r="B26" s="9"/>
      <c r="C26" s="9"/>
      <c r="D26" s="12" t="str">
        <f t="shared" si="0"/>
        <v/>
      </c>
      <c r="E26" s="9"/>
      <c r="F26" s="9"/>
      <c r="G26" s="9"/>
      <c r="H26" s="13">
        <f>IF(($E26&lt;&gt;""),VLOOKUP($E26,IF(($C$7&lt;2024),(Budget!$H$2:$I$33),(Budget2024!$H$2:$I$33)),2,FALSE),0)</f>
        <v>0</v>
      </c>
      <c r="I26" s="13">
        <f t="shared" si="2"/>
        <v>0</v>
      </c>
      <c r="J26" s="13">
        <f t="shared" si="3"/>
        <v>0</v>
      </c>
      <c r="K26" s="13">
        <f t="shared" si="4"/>
        <v>0</v>
      </c>
      <c r="L26" s="9"/>
      <c r="M26" s="13">
        <f>IF(($E26&lt;&gt;""),VLOOKUP($E26,IF(($C$7&lt;2024),(Budget!$D$2:$E$33),(Budget2024!$D$2:$E$33)),2,FALSE),0)</f>
        <v>0</v>
      </c>
      <c r="N26" s="14">
        <f t="shared" si="5"/>
        <v>0</v>
      </c>
      <c r="O26" s="13">
        <f t="shared" si="1"/>
        <v>0</v>
      </c>
      <c r="P26" s="9"/>
      <c r="Q26" s="9"/>
      <c r="R26" s="13">
        <f>IF(($C$7&lt;2024),(IF((Q26="ja"),(IF(P26&lt;&gt;"",VLOOKUP(P26,Budget!$N$2:$O$8,2,FALSE),"")),(IF(P26&lt;&gt;"",VLOOKUP(P26,Budget!$L$2:$M$8,2,FALSE),0)))),(IF((Q26="ja"),(IF(P26&lt;&gt;"",VLOOKUP(P26,Budget2024!$N$2:$O$8,2,FALSE),"")),(IF(P26&lt;&gt;"",VLOOKUP(P26,Budget2024!$L$2:$M$8,2,FALSE),0)))))</f>
        <v>0</v>
      </c>
      <c r="S26" s="19" t="str">
        <f t="shared" si="6"/>
        <v/>
      </c>
    </row>
    <row r="27" spans="1:19" ht="30" customHeight="1" x14ac:dyDescent="0.2">
      <c r="A27" s="4"/>
      <c r="B27" s="9"/>
      <c r="C27" s="9"/>
      <c r="D27" s="12" t="str">
        <f t="shared" si="0"/>
        <v/>
      </c>
      <c r="E27" s="9"/>
      <c r="F27" s="9"/>
      <c r="G27" s="9"/>
      <c r="H27" s="13">
        <f>IF(($E27&lt;&gt;""),VLOOKUP($E27,IF(($C$7&lt;2024),(Budget!$H$2:$I$33),(Budget2024!$H$2:$I$33)),2,FALSE),0)</f>
        <v>0</v>
      </c>
      <c r="I27" s="13">
        <f t="shared" si="2"/>
        <v>0</v>
      </c>
      <c r="J27" s="13">
        <f t="shared" si="3"/>
        <v>0</v>
      </c>
      <c r="K27" s="13">
        <f t="shared" si="4"/>
        <v>0</v>
      </c>
      <c r="L27" s="9"/>
      <c r="M27" s="13">
        <f>IF(($E27&lt;&gt;""),VLOOKUP($E27,IF(($C$7&lt;2024),(Budget!$D$2:$E$33),(Budget2024!$D$2:$E$33)),2,FALSE),0)</f>
        <v>0</v>
      </c>
      <c r="N27" s="14">
        <f t="shared" si="5"/>
        <v>0</v>
      </c>
      <c r="O27" s="13">
        <f>IF((F27&gt;0),F27+L27,0)</f>
        <v>0</v>
      </c>
      <c r="P27" s="9"/>
      <c r="Q27" s="9"/>
      <c r="R27" s="13">
        <f>IF(($C$7&lt;2024),(IF((Q27="ja"),(IF(P27&lt;&gt;"",VLOOKUP(P27,Budget!$N$2:$O$8,2,FALSE),"")),(IF(P27&lt;&gt;"",VLOOKUP(P27,Budget!$L$2:$M$8,2,FALSE),0)))),(IF((Q27="ja"),(IF(P27&lt;&gt;"",VLOOKUP(P27,Budget2024!$N$2:$O$8,2,FALSE),"")),(IF(P27&lt;&gt;"",VLOOKUP(P27,Budget2024!$L$2:$M$8,2,FALSE),0)))))</f>
        <v>0</v>
      </c>
      <c r="S27" s="19" t="str">
        <f t="shared" si="6"/>
        <v/>
      </c>
    </row>
    <row r="28" spans="1:19" ht="30" customHeight="1" x14ac:dyDescent="0.2">
      <c r="A28" s="4"/>
      <c r="B28" s="9"/>
      <c r="C28" s="9"/>
      <c r="D28" s="12" t="str">
        <f t="shared" si="0"/>
        <v/>
      </c>
      <c r="E28" s="9"/>
      <c r="F28" s="9"/>
      <c r="G28" s="9"/>
      <c r="H28" s="13">
        <f>IF(($E28&lt;&gt;""),VLOOKUP($E28,IF(($C$7&lt;2024),(Budget!$H$2:$I$33),(Budget2024!$H$2:$I$33)),2,FALSE),0)</f>
        <v>0</v>
      </c>
      <c r="I28" s="13">
        <f t="shared" si="2"/>
        <v>0</v>
      </c>
      <c r="J28" s="13">
        <f t="shared" si="3"/>
        <v>0</v>
      </c>
      <c r="K28" s="13">
        <f t="shared" si="4"/>
        <v>0</v>
      </c>
      <c r="L28" s="9"/>
      <c r="M28" s="13">
        <f>IF(($E28&lt;&gt;""),VLOOKUP($E28,IF(($C$7&lt;2024),(Budget!$D$2:$E$33),(Budget2024!$D$2:$E$33)),2,FALSE),0)</f>
        <v>0</v>
      </c>
      <c r="N28" s="14">
        <f t="shared" si="5"/>
        <v>0</v>
      </c>
      <c r="O28" s="13">
        <f t="shared" ref="O28:O30" si="7">IF((F28&gt;0),F28+L28,0)</f>
        <v>0</v>
      </c>
      <c r="P28" s="9"/>
      <c r="Q28" s="9"/>
      <c r="R28" s="13">
        <f>IF(($C$7&lt;2024),(IF((Q28="ja"),(IF(P28&lt;&gt;"",VLOOKUP(P28,Budget!$N$2:$O$8,2,FALSE),"")),(IF(P28&lt;&gt;"",VLOOKUP(P28,Budget!$L$2:$M$8,2,FALSE),0)))),(IF((Q28="ja"),(IF(P28&lt;&gt;"",VLOOKUP(P28,Budget2024!$N$2:$O$8,2,FALSE),"")),(IF(P28&lt;&gt;"",VLOOKUP(P28,Budget2024!$L$2:$M$8,2,FALSE),0)))))</f>
        <v>0</v>
      </c>
      <c r="S28" s="19" t="str">
        <f t="shared" si="6"/>
        <v/>
      </c>
    </row>
    <row r="29" spans="1:19" ht="30" customHeight="1" x14ac:dyDescent="0.2">
      <c r="A29" s="4"/>
      <c r="B29" s="9"/>
      <c r="C29" s="9"/>
      <c r="D29" s="12" t="str">
        <f t="shared" si="0"/>
        <v/>
      </c>
      <c r="E29" s="9"/>
      <c r="F29" s="9"/>
      <c r="G29" s="9"/>
      <c r="H29" s="13">
        <f>IF(($E29&lt;&gt;""),VLOOKUP($E29,IF(($C$7&lt;2024),(Budget!$H$2:$I$33),(Budget2024!$H$2:$I$33)),2,FALSE),0)</f>
        <v>0</v>
      </c>
      <c r="I29" s="13">
        <f t="shared" si="2"/>
        <v>0</v>
      </c>
      <c r="J29" s="13">
        <f t="shared" si="3"/>
        <v>0</v>
      </c>
      <c r="K29" s="13">
        <f t="shared" si="4"/>
        <v>0</v>
      </c>
      <c r="L29" s="9"/>
      <c r="M29" s="13">
        <f>IF(($E29&lt;&gt;""),VLOOKUP($E29,IF(($C$7&lt;2024),(Budget!$D$2:$E$33),(Budget2024!$D$2:$E$33)),2,FALSE),0)</f>
        <v>0</v>
      </c>
      <c r="N29" s="14">
        <f t="shared" si="5"/>
        <v>0</v>
      </c>
      <c r="O29" s="13">
        <f t="shared" si="7"/>
        <v>0</v>
      </c>
      <c r="P29" s="9"/>
      <c r="Q29" s="9"/>
      <c r="R29" s="13">
        <f>IF(($C$7&lt;2024),(IF((Q29="ja"),(IF(P29&lt;&gt;"",VLOOKUP(P29,Budget!$N$2:$O$8,2,FALSE),"")),(IF(P29&lt;&gt;"",VLOOKUP(P29,Budget!$L$2:$M$8,2,FALSE),0)))),(IF((Q29="ja"),(IF(P29&lt;&gt;"",VLOOKUP(P29,Budget2024!$N$2:$O$8,2,FALSE),"")),(IF(P29&lt;&gt;"",VLOOKUP(P29,Budget2024!$L$2:$M$8,2,FALSE),0)))))</f>
        <v>0</v>
      </c>
      <c r="S29" s="19" t="str">
        <f t="shared" si="6"/>
        <v/>
      </c>
    </row>
    <row r="30" spans="1:19" ht="30" customHeight="1" thickBot="1" x14ac:dyDescent="0.25">
      <c r="A30" s="4"/>
      <c r="B30" s="9"/>
      <c r="C30" s="9"/>
      <c r="D30" s="12" t="str">
        <f t="shared" si="0"/>
        <v/>
      </c>
      <c r="E30" s="9"/>
      <c r="F30" s="9"/>
      <c r="G30" s="9"/>
      <c r="H30" s="13">
        <f>IF(($E30&lt;&gt;""),VLOOKUP($E30,IF(($C$7&lt;2024),(Budget!$H$2:$I$33),(Budget2024!$H$2:$I$33)),2,FALSE),0)</f>
        <v>0</v>
      </c>
      <c r="I30" s="13">
        <f t="shared" si="2"/>
        <v>0</v>
      </c>
      <c r="J30" s="13">
        <f t="shared" si="3"/>
        <v>0</v>
      </c>
      <c r="K30" s="13">
        <f t="shared" si="4"/>
        <v>0</v>
      </c>
      <c r="L30" s="9"/>
      <c r="M30" s="13">
        <f>IF(($E30&lt;&gt;""),VLOOKUP($E30,IF(($C$7&lt;2024),(Budget!$D$2:$E$33),(Budget2024!$D$2:$E$33)),2,FALSE),0)</f>
        <v>0</v>
      </c>
      <c r="N30" s="14">
        <f t="shared" si="5"/>
        <v>0</v>
      </c>
      <c r="O30" s="13">
        <f t="shared" si="7"/>
        <v>0</v>
      </c>
      <c r="P30" s="9"/>
      <c r="Q30" s="9"/>
      <c r="R30" s="13">
        <f>IF(($C$7&lt;2024),(IF((Q30="ja"),(IF(P30&lt;&gt;"",VLOOKUP(P30,Budget!$N$2:$O$8,2,FALSE),"")),(IF(P30&lt;&gt;"",VLOOKUP(P30,Budget!$L$2:$M$8,2,FALSE),0)))),(IF((Q30="ja"),(IF(P30&lt;&gt;"",VLOOKUP(P30,Budget2024!$N$2:$O$8,2,FALSE),"")),(IF(P30&lt;&gt;"",VLOOKUP(P30,Budget2024!$L$2:$M$8,2,FALSE),0)))))</f>
        <v>0</v>
      </c>
      <c r="S30" s="19" t="str">
        <f t="shared" si="6"/>
        <v/>
      </c>
    </row>
    <row r="31" spans="1:19" ht="25" thickTop="1" thickBot="1" x14ac:dyDescent="0.25">
      <c r="R31" s="6" t="s">
        <v>0</v>
      </c>
      <c r="S31" s="5">
        <f ca="1">SUM(OFFSET(S21,,,ROW()-ROW(S21)))</f>
        <v>24949</v>
      </c>
    </row>
    <row r="32" spans="1:19" ht="62.25" customHeight="1" thickTop="1" x14ac:dyDescent="0.2">
      <c r="R32" s="6"/>
      <c r="S32" s="6"/>
    </row>
    <row r="33" spans="1:16" ht="30" customHeight="1" x14ac:dyDescent="0.2">
      <c r="A33" s="45" t="s">
        <v>57</v>
      </c>
      <c r="B33" s="46"/>
      <c r="C33" s="46"/>
      <c r="D33" s="46"/>
      <c r="E33" s="46"/>
      <c r="F33" s="46"/>
      <c r="G33" s="46"/>
    </row>
    <row r="34" spans="1:16" ht="73.5" customHeight="1" x14ac:dyDescent="0.2">
      <c r="A34" s="7" t="s">
        <v>80</v>
      </c>
      <c r="B34" s="8" t="s">
        <v>66</v>
      </c>
      <c r="C34" s="8" t="s">
        <v>67</v>
      </c>
      <c r="D34" s="8" t="s">
        <v>101</v>
      </c>
      <c r="E34" s="8" t="s">
        <v>1</v>
      </c>
      <c r="F34" s="8" t="s">
        <v>65</v>
      </c>
      <c r="G34" s="8" t="s">
        <v>92</v>
      </c>
      <c r="H34" s="8" t="s">
        <v>75</v>
      </c>
      <c r="I34" s="8" t="s">
        <v>76</v>
      </c>
      <c r="J34" s="8" t="s">
        <v>68</v>
      </c>
      <c r="K34" s="8" t="s">
        <v>74</v>
      </c>
      <c r="L34" s="8" t="s">
        <v>73</v>
      </c>
      <c r="M34" s="8" t="s">
        <v>70</v>
      </c>
      <c r="N34" s="8" t="s">
        <v>42</v>
      </c>
      <c r="O34" s="8" t="s">
        <v>79</v>
      </c>
      <c r="P34" s="8" t="s">
        <v>64</v>
      </c>
    </row>
    <row r="35" spans="1:16" ht="30" customHeight="1" x14ac:dyDescent="0.2">
      <c r="A35" s="4">
        <v>1</v>
      </c>
      <c r="B35" s="4">
        <v>3</v>
      </c>
      <c r="C35" s="4">
        <v>2</v>
      </c>
      <c r="D35" s="12">
        <f>IF((B35&gt;0),B35+C35,"")</f>
        <v>5</v>
      </c>
      <c r="E35" s="9" t="s">
        <v>20</v>
      </c>
      <c r="F35" s="9">
        <v>1</v>
      </c>
      <c r="G35" s="9">
        <v>0</v>
      </c>
      <c r="H35" s="13">
        <f>IF(($F35&lt;&gt;""),VLOOKUP($E35,IF(($C$7&lt;2024),(Budget!$D$2:$E$33),(Budget2024!$D$2:$E$33)),2,FALSE),0)</f>
        <v>135</v>
      </c>
      <c r="I35" s="13">
        <f>IF((B35&gt;0),(IF((D35&lt;=14),(D35*F35*H35),(14*F35*H35)+(D35-14)*F35*ROUND(0.7*H35,0))),0)</f>
        <v>675</v>
      </c>
      <c r="J35" s="13">
        <f>IF((B35&gt;0),IF((B35&lt;=10),(F35*B35*80),(F35*800)),0)</f>
        <v>240</v>
      </c>
      <c r="K35" s="13">
        <f>IF((F35&gt;0),(F35*100),0)</f>
        <v>100</v>
      </c>
      <c r="L35" s="13">
        <f>IF(($C$7&lt;2024),(IF((G35&gt;0),(G35*100),0)),(IF((G35&gt;0),(G35*125),0)))</f>
        <v>0</v>
      </c>
      <c r="M35" s="9" t="s">
        <v>47</v>
      </c>
      <c r="N35" s="9" t="s">
        <v>41</v>
      </c>
      <c r="O35" s="13">
        <f>IF(($C$7&lt;2024),(IF((N35="ja"),(IF(M35&lt;&gt;"",VLOOKUP(M35,Budget!$N$2:$O$8,2,FALSE),0)),(IF(M35&lt;&gt;"",VLOOKUP(M35,Budget!$L$2:$M$8,2,FALSE),0)))), (IF((N35="ja"),(IF(M35&lt;&gt;"",VLOOKUP(M35,Budget2024!$N$2:$O$8,2,FALSE),0)),(IF(M35&lt;&gt;"",VLOOKUP(M35,Budget2024!$L$2:$M$8,2,FALSE),0)))))</f>
        <v>309</v>
      </c>
      <c r="P35" s="18">
        <f>IF((B35&gt;0),(I35+J35+K35+L35+IF((M35&lt;&gt;""),(O35*F35),0)),"")</f>
        <v>1324</v>
      </c>
    </row>
    <row r="36" spans="1:16" ht="30" customHeight="1" x14ac:dyDescent="0.2">
      <c r="A36" s="4"/>
      <c r="B36" s="4"/>
      <c r="C36" s="4"/>
      <c r="D36" s="12" t="str">
        <f t="shared" ref="D36:D43" si="8">IF((B36&gt;0),B36+C36,"")</f>
        <v/>
      </c>
      <c r="E36" s="9"/>
      <c r="F36" s="9"/>
      <c r="G36" s="9"/>
      <c r="H36" s="13">
        <f>IF(($F36&lt;&gt;""),VLOOKUP($E36,IF(($C$7&lt;2024),(Budget!$D$2:$E$33),(Budget2024!$D$2:$E$33)),2,FALSE),0)</f>
        <v>0</v>
      </c>
      <c r="I36" s="13">
        <f t="shared" ref="I36:I43" si="9">IF((B36&gt;0),(IF((D36&lt;=14),(D36*F36*H36),(14*F36*H36)+(D36-14)*F36*ROUND(0.7*H36,0))),0)</f>
        <v>0</v>
      </c>
      <c r="J36" s="13">
        <f t="shared" ref="J36:J43" si="10">IF((B36&gt;0),IF((B36&lt;=10),(F36*B36*80),(F36*800)),0)</f>
        <v>0</v>
      </c>
      <c r="K36" s="13">
        <f t="shared" ref="K36:K43" si="11">IF((F36&gt;0),(F36*100),0)</f>
        <v>0</v>
      </c>
      <c r="L36" s="13">
        <f t="shared" ref="L36:L42" si="12">IF(($C$7&lt;2024),(IF((G36&gt;0),(G36*100),0)),(IF((G36&gt;0),(G36*125),0)))</f>
        <v>0</v>
      </c>
      <c r="M36" s="9"/>
      <c r="N36" s="9"/>
      <c r="O36" s="13">
        <f>IF(($C$7&lt;2024),(IF((N36="ja"),(IF(M36&lt;&gt;"",VLOOKUP(M36,Budget!$N$2:$O$8,2,FALSE),0)),(IF(M36&lt;&gt;"",VLOOKUP(M36,Budget!$L$2:$M$8,2,FALSE),0)))), (IF((N36="ja"),(IF(M36&lt;&gt;"",VLOOKUP(M36,Budget2024!$N$2:$O$8,2,FALSE),0)),(IF(M36&lt;&gt;"",VLOOKUP(M36,Budget2024!$L$2:$M$8,2,FALSE),0)))))</f>
        <v>0</v>
      </c>
      <c r="P36" s="18" t="str">
        <f t="shared" ref="P36:P43" si="13">IF((B36&gt;0),(I36+J36+K36+L36+IF((M36&lt;&gt;""),(O36*F36),0)),"")</f>
        <v/>
      </c>
    </row>
    <row r="37" spans="1:16" ht="30" customHeight="1" x14ac:dyDescent="0.2">
      <c r="A37" s="4"/>
      <c r="B37" s="4"/>
      <c r="C37" s="4"/>
      <c r="D37" s="12" t="str">
        <f t="shared" si="8"/>
        <v/>
      </c>
      <c r="E37" s="9"/>
      <c r="F37" s="9"/>
      <c r="G37" s="9"/>
      <c r="H37" s="13">
        <f>IF(($F37&lt;&gt;""),VLOOKUP($E37,IF(($C$7&lt;2024),(Budget!$D$2:$E$33),(Budget2024!$D$2:$E$33)),2,FALSE),0)</f>
        <v>0</v>
      </c>
      <c r="I37" s="13">
        <f t="shared" si="9"/>
        <v>0</v>
      </c>
      <c r="J37" s="13">
        <f t="shared" si="10"/>
        <v>0</v>
      </c>
      <c r="K37" s="13">
        <f t="shared" si="11"/>
        <v>0</v>
      </c>
      <c r="L37" s="13">
        <f t="shared" si="12"/>
        <v>0</v>
      </c>
      <c r="M37" s="9"/>
      <c r="N37" s="9"/>
      <c r="O37" s="13">
        <f>IF(($C$7&lt;2024),(IF((N37="ja"),(IF(M37&lt;&gt;"",VLOOKUP(M37,Budget!$N$2:$O$8,2,FALSE),0)),(IF(M37&lt;&gt;"",VLOOKUP(M37,Budget!$L$2:$M$8,2,FALSE),0)))), (IF((N37="ja"),(IF(M37&lt;&gt;"",VLOOKUP(M37,Budget2024!$N$2:$O$8,2,FALSE),0)),(IF(M37&lt;&gt;"",VLOOKUP(M37,Budget2024!$L$2:$M$8,2,FALSE),0)))))</f>
        <v>0</v>
      </c>
      <c r="P37" s="18" t="str">
        <f t="shared" si="13"/>
        <v/>
      </c>
    </row>
    <row r="38" spans="1:16" ht="30" customHeight="1" x14ac:dyDescent="0.2">
      <c r="A38" s="4"/>
      <c r="B38" s="4"/>
      <c r="C38" s="4"/>
      <c r="D38" s="12" t="str">
        <f t="shared" si="8"/>
        <v/>
      </c>
      <c r="E38" s="9"/>
      <c r="F38" s="9"/>
      <c r="G38" s="9"/>
      <c r="H38" s="13">
        <f>IF(($F38&lt;&gt;""),VLOOKUP($E38,IF(($C$7&lt;2024),(Budget!$D$2:$E$33),(Budget2024!$D$2:$E$33)),2,FALSE),0)</f>
        <v>0</v>
      </c>
      <c r="I38" s="13">
        <f t="shared" si="9"/>
        <v>0</v>
      </c>
      <c r="J38" s="13">
        <f t="shared" si="10"/>
        <v>0</v>
      </c>
      <c r="K38" s="13">
        <f t="shared" si="11"/>
        <v>0</v>
      </c>
      <c r="L38" s="13">
        <f t="shared" si="12"/>
        <v>0</v>
      </c>
      <c r="M38" s="9"/>
      <c r="N38" s="9"/>
      <c r="O38" s="13">
        <f>IF(($C$7&lt;2024),(IF((N38="ja"),(IF(M38&lt;&gt;"",VLOOKUP(M38,Budget!$N$2:$O$8,2,FALSE),0)),(IF(M38&lt;&gt;"",VLOOKUP(M38,Budget!$L$2:$M$8,2,FALSE),0)))), (IF((N38="ja"),(IF(M38&lt;&gt;"",VLOOKUP(M38,Budget2024!$N$2:$O$8,2,FALSE),0)),(IF(M38&lt;&gt;"",VLOOKUP(M38,Budget2024!$L$2:$M$8,2,FALSE),0)))))</f>
        <v>0</v>
      </c>
      <c r="P38" s="18" t="str">
        <f t="shared" si="13"/>
        <v/>
      </c>
    </row>
    <row r="39" spans="1:16" ht="30" customHeight="1" x14ac:dyDescent="0.2">
      <c r="A39" s="4"/>
      <c r="B39" s="4"/>
      <c r="C39" s="4"/>
      <c r="D39" s="12" t="str">
        <f t="shared" si="8"/>
        <v/>
      </c>
      <c r="E39" s="9"/>
      <c r="F39" s="9"/>
      <c r="G39" s="9"/>
      <c r="H39" s="13">
        <f>IF(($F39&lt;&gt;""),VLOOKUP($E39,IF(($C$7&lt;2024),(Budget!$D$2:$E$33),(Budget2024!$D$2:$E$33)),2,FALSE),0)</f>
        <v>0</v>
      </c>
      <c r="I39" s="13">
        <f t="shared" si="9"/>
        <v>0</v>
      </c>
      <c r="J39" s="13">
        <f t="shared" si="10"/>
        <v>0</v>
      </c>
      <c r="K39" s="13">
        <f t="shared" si="11"/>
        <v>0</v>
      </c>
      <c r="L39" s="13">
        <f t="shared" si="12"/>
        <v>0</v>
      </c>
      <c r="M39" s="9"/>
      <c r="N39" s="9"/>
      <c r="O39" s="13">
        <f>IF(($C$7&lt;2024),(IF((N39="ja"),(IF(M39&lt;&gt;"",VLOOKUP(M39,Budget!$N$2:$O$8,2,FALSE),0)),(IF(M39&lt;&gt;"",VLOOKUP(M39,Budget!$L$2:$M$8,2,FALSE),0)))), (IF((N39="ja"),(IF(M39&lt;&gt;"",VLOOKUP(M39,Budget2024!$N$2:$O$8,2,FALSE),0)),(IF(M39&lt;&gt;"",VLOOKUP(M39,Budget2024!$L$2:$M$8,2,FALSE),0)))))</f>
        <v>0</v>
      </c>
      <c r="P39" s="18" t="str">
        <f t="shared" si="13"/>
        <v/>
      </c>
    </row>
    <row r="40" spans="1:16" ht="30" customHeight="1" x14ac:dyDescent="0.2">
      <c r="A40" s="4"/>
      <c r="B40" s="4"/>
      <c r="C40" s="4"/>
      <c r="D40" s="12" t="str">
        <f t="shared" si="8"/>
        <v/>
      </c>
      <c r="E40" s="9"/>
      <c r="F40" s="9"/>
      <c r="G40" s="9"/>
      <c r="H40" s="13">
        <f>IF(($F40&lt;&gt;""),VLOOKUP($E40,IF(($C$7&lt;2024),(Budget!$D$2:$E$33),(Budget2024!$D$2:$E$33)),2,FALSE),0)</f>
        <v>0</v>
      </c>
      <c r="I40" s="13">
        <f t="shared" si="9"/>
        <v>0</v>
      </c>
      <c r="J40" s="13">
        <f t="shared" si="10"/>
        <v>0</v>
      </c>
      <c r="K40" s="13">
        <f t="shared" si="11"/>
        <v>0</v>
      </c>
      <c r="L40" s="13">
        <f t="shared" si="12"/>
        <v>0</v>
      </c>
      <c r="M40" s="9"/>
      <c r="N40" s="9"/>
      <c r="O40" s="13">
        <f>IF(($C$7&lt;2024),(IF((N40="ja"),(IF(M40&lt;&gt;"",VLOOKUP(M40,Budget!$N$2:$O$8,2,FALSE),0)),(IF(M40&lt;&gt;"",VLOOKUP(M40,Budget!$L$2:$M$8,2,FALSE),0)))), (IF((N40="ja"),(IF(M40&lt;&gt;"",VLOOKUP(M40,Budget2024!$N$2:$O$8,2,FALSE),0)),(IF(M40&lt;&gt;"",VLOOKUP(M40,Budget2024!$L$2:$M$8,2,FALSE),0)))))</f>
        <v>0</v>
      </c>
      <c r="P40" s="18" t="str">
        <f t="shared" si="13"/>
        <v/>
      </c>
    </row>
    <row r="41" spans="1:16" ht="30" customHeight="1" x14ac:dyDescent="0.2">
      <c r="A41" s="4"/>
      <c r="B41" s="4"/>
      <c r="C41" s="4"/>
      <c r="D41" s="12" t="str">
        <f t="shared" si="8"/>
        <v/>
      </c>
      <c r="E41" s="9"/>
      <c r="F41" s="9"/>
      <c r="G41" s="9"/>
      <c r="H41" s="13">
        <f>IF(($F41&lt;&gt;""),VLOOKUP($E41,IF(($C$7&lt;2024),(Budget!$D$2:$E$33),(Budget2024!$D$2:$E$33)),2,FALSE),0)</f>
        <v>0</v>
      </c>
      <c r="I41" s="13">
        <f t="shared" si="9"/>
        <v>0</v>
      </c>
      <c r="J41" s="13">
        <f t="shared" si="10"/>
        <v>0</v>
      </c>
      <c r="K41" s="13">
        <f t="shared" si="11"/>
        <v>0</v>
      </c>
      <c r="L41" s="13">
        <f t="shared" si="12"/>
        <v>0</v>
      </c>
      <c r="M41" s="9"/>
      <c r="N41" s="9"/>
      <c r="O41" s="13">
        <f>IF(($C$7&lt;2024),(IF((N41="ja"),(IF(M41&lt;&gt;"",VLOOKUP(M41,Budget!$N$2:$O$8,2,FALSE),0)),(IF(M41&lt;&gt;"",VLOOKUP(M41,Budget!$L$2:$M$8,2,FALSE),0)))), (IF((N41="ja"),(IF(M41&lt;&gt;"",VLOOKUP(M41,Budget2024!$N$2:$O$8,2,FALSE),0)),(IF(M41&lt;&gt;"",VLOOKUP(M41,Budget2024!$L$2:$M$8,2,FALSE),0)))))</f>
        <v>0</v>
      </c>
      <c r="P41" s="18" t="str">
        <f t="shared" si="13"/>
        <v/>
      </c>
    </row>
    <row r="42" spans="1:16" ht="30" customHeight="1" x14ac:dyDescent="0.2">
      <c r="A42" s="4"/>
      <c r="B42" s="4"/>
      <c r="C42" s="4"/>
      <c r="D42" s="12" t="str">
        <f t="shared" si="8"/>
        <v/>
      </c>
      <c r="E42" s="9"/>
      <c r="F42" s="9"/>
      <c r="G42" s="9"/>
      <c r="H42" s="13">
        <f>IF(($F42&lt;&gt;""),VLOOKUP($E42,IF(($C$7&lt;2024),(Budget!$D$2:$E$33),(Budget2024!$D$2:$E$33)),2,FALSE),0)</f>
        <v>0</v>
      </c>
      <c r="I42" s="13">
        <f t="shared" si="9"/>
        <v>0</v>
      </c>
      <c r="J42" s="13">
        <f t="shared" si="10"/>
        <v>0</v>
      </c>
      <c r="K42" s="13">
        <f t="shared" si="11"/>
        <v>0</v>
      </c>
      <c r="L42" s="13">
        <f t="shared" si="12"/>
        <v>0</v>
      </c>
      <c r="M42" s="9"/>
      <c r="N42" s="9"/>
      <c r="O42" s="13">
        <f>IF(($C$7&lt;2024),(IF((N42="ja"),(IF(M42&lt;&gt;"",VLOOKUP(M42,Budget!$N$2:$O$8,2,FALSE),0)),(IF(M42&lt;&gt;"",VLOOKUP(M42,Budget!$L$2:$M$8,2,FALSE),0)))), (IF((N42="ja"),(IF(M42&lt;&gt;"",VLOOKUP(M42,Budget2024!$N$2:$O$8,2,FALSE),0)),(IF(M42&lt;&gt;"",VLOOKUP(M42,Budget2024!$L$2:$M$8,2,FALSE),0)))))</f>
        <v>0</v>
      </c>
      <c r="P42" s="18" t="str">
        <f t="shared" si="13"/>
        <v/>
      </c>
    </row>
    <row r="43" spans="1:16" ht="30" customHeight="1" thickBot="1" x14ac:dyDescent="0.25">
      <c r="A43" s="4"/>
      <c r="B43" s="4"/>
      <c r="C43" s="4"/>
      <c r="D43" s="12" t="str">
        <f t="shared" si="8"/>
        <v/>
      </c>
      <c r="E43" s="9"/>
      <c r="F43" s="9"/>
      <c r="G43" s="9"/>
      <c r="H43" s="13">
        <f>IF(($F43&lt;&gt;""),VLOOKUP($E43,IF(($C$7&lt;2024),(Budget!$D$2:$E$33),(Budget2024!$D$2:$E$33)),2,FALSE),0)</f>
        <v>0</v>
      </c>
      <c r="I43" s="13">
        <f t="shared" si="9"/>
        <v>0</v>
      </c>
      <c r="J43" s="13">
        <f t="shared" si="10"/>
        <v>0</v>
      </c>
      <c r="K43" s="13">
        <f t="shared" si="11"/>
        <v>0</v>
      </c>
      <c r="L43" s="13">
        <f>IF(($C$7&lt;2024),(IF((G43&gt;0),(G43*100),0)),(IF((G43&gt;0),(G43*125),0)))</f>
        <v>0</v>
      </c>
      <c r="M43" s="9"/>
      <c r="N43" s="9"/>
      <c r="O43" s="13">
        <f>IF(($C$7&lt;2024),(IF((N43="ja"),(IF(M43&lt;&gt;"",VLOOKUP(M43,Budget!$N$2:$O$8,2,FALSE),0)),(IF(M43&lt;&gt;"",VLOOKUP(M43,Budget!$L$2:$M$8,2,FALSE),0)))), (IF((N43="ja"),(IF(M43&lt;&gt;"",VLOOKUP(M43,Budget2024!$N$2:$O$8,2,FALSE),0)),(IF(M43&lt;&gt;"",VLOOKUP(M43,Budget2024!$L$2:$M$8,2,FALSE),0)))))</f>
        <v>0</v>
      </c>
      <c r="P43" s="18" t="str">
        <f t="shared" si="13"/>
        <v/>
      </c>
    </row>
    <row r="44" spans="1:16" ht="25" thickTop="1" thickBot="1" x14ac:dyDescent="0.25">
      <c r="O44" s="6" t="s">
        <v>0</v>
      </c>
      <c r="P44" s="5">
        <f ca="1">SUM(OFFSET(P35,,,ROW()-ROW(P35)))</f>
        <v>1324</v>
      </c>
    </row>
    <row r="45" spans="1:16" ht="24" thickTop="1" x14ac:dyDescent="0.2">
      <c r="H45" s="6"/>
    </row>
    <row r="46" spans="1:16" ht="30" customHeight="1" x14ac:dyDescent="0.2">
      <c r="A46" s="45" t="s">
        <v>45</v>
      </c>
      <c r="B46" s="46"/>
      <c r="C46" s="46"/>
      <c r="D46" s="46"/>
      <c r="E46" s="46"/>
      <c r="F46" s="46"/>
      <c r="G46" s="46"/>
      <c r="H46" s="2" t="s">
        <v>100</v>
      </c>
    </row>
    <row r="47" spans="1:16" ht="63" customHeight="1" x14ac:dyDescent="0.2">
      <c r="A47" s="7" t="s">
        <v>81</v>
      </c>
      <c r="B47" s="8" t="s">
        <v>66</v>
      </c>
      <c r="C47" s="8" t="s">
        <v>67</v>
      </c>
      <c r="D47" s="8" t="s">
        <v>101</v>
      </c>
      <c r="E47" s="8" t="s">
        <v>1</v>
      </c>
      <c r="F47" s="8" t="s">
        <v>65</v>
      </c>
      <c r="G47" s="8" t="s">
        <v>92</v>
      </c>
      <c r="H47" s="8" t="s">
        <v>75</v>
      </c>
      <c r="I47" s="8" t="s">
        <v>76</v>
      </c>
      <c r="J47" s="8" t="s">
        <v>74</v>
      </c>
      <c r="K47" s="8" t="s">
        <v>73</v>
      </c>
      <c r="L47" s="8" t="s">
        <v>70</v>
      </c>
      <c r="M47" s="8" t="s">
        <v>42</v>
      </c>
      <c r="N47" s="8" t="s">
        <v>79</v>
      </c>
      <c r="O47" s="8" t="s">
        <v>64</v>
      </c>
    </row>
    <row r="48" spans="1:16" ht="30" customHeight="1" x14ac:dyDescent="0.2">
      <c r="A48" s="4">
        <v>1</v>
      </c>
      <c r="B48" s="4">
        <v>4</v>
      </c>
      <c r="C48" s="4">
        <v>2</v>
      </c>
      <c r="D48" s="12">
        <f>IF(B48&gt;0,B48+C48,"")</f>
        <v>6</v>
      </c>
      <c r="E48" s="9" t="s">
        <v>12</v>
      </c>
      <c r="F48" s="9">
        <v>2</v>
      </c>
      <c r="G48" s="9">
        <v>0</v>
      </c>
      <c r="H48" s="13">
        <f>IF(($E48&lt;&gt;""),VLOOKUP($E48,IF(($C$7&lt;2024),(Budget!$D$2:$E$33),(Budget2024!$D$2:$E$33)),2,FALSE),0)</f>
        <v>153</v>
      </c>
      <c r="I48" s="13">
        <f>IF((B48&gt;0),(IF((D48&lt;=14),(D48*F48*H48),(14*F48*H48)+(D48-14)*F48*ROUND(0.7*H48,0))),0)</f>
        <v>1836</v>
      </c>
      <c r="J48" s="13">
        <f>IF((F48&gt;0),(F48*350),0)</f>
        <v>700</v>
      </c>
      <c r="K48" s="13">
        <f>IF(($C$7&lt;2024),(IF((G48&gt;0),(G48*100),0)),(IF((G48&gt;0),(G48*125),0)))</f>
        <v>0</v>
      </c>
      <c r="L48" s="9" t="s">
        <v>48</v>
      </c>
      <c r="M48" s="9" t="s">
        <v>41</v>
      </c>
      <c r="N48" s="13">
        <f>IF(($C$7&lt;2024),(IF((M48="ja"),(IF(L48&lt;&gt;"",VLOOKUP(L48,Budget!$N$2:$O$8,2,FALSE),0)),(IF(L48&lt;&gt;"",VLOOKUP(L48,Budget!$L$2:$M$8,2,FALSE),0)))),(IF((M48="ja"),(IF(L48&lt;&gt;"",VLOOKUP(L48,Budget2024!$N$2:$O$8,2,FALSE),0)),(IF(L48&lt;&gt;"",VLOOKUP(L48,Budget2024!$L$2:$M$8,2,FALSE),0)))))</f>
        <v>395</v>
      </c>
      <c r="O48" s="18">
        <f>IF((B48&gt;0),I48+J48+K48+N48*F48,"")</f>
        <v>3326</v>
      </c>
    </row>
    <row r="49" spans="1:20" ht="30" customHeight="1" x14ac:dyDescent="0.2">
      <c r="A49" s="4"/>
      <c r="B49" s="4"/>
      <c r="C49" s="4"/>
      <c r="D49" s="12" t="str">
        <f t="shared" ref="D49:D53" si="14">IF(B49&gt;0,B49+C49,"")</f>
        <v/>
      </c>
      <c r="E49" s="9"/>
      <c r="F49" s="9"/>
      <c r="G49" s="9"/>
      <c r="H49" s="13">
        <f>IF(($E49&lt;&gt;""),VLOOKUP($E49,IF(($C$7&lt;2024),(Budget!$D$2:$E$33),(Budget2024!$D$2:$E$33)),2,FALSE),0)</f>
        <v>0</v>
      </c>
      <c r="I49" s="13">
        <f t="shared" ref="I49:I53" si="15">IF((B49&gt;0),(IF((D49&lt;=14),(D49*F49*H49),(14*F49*H49)+(D49-14)*F49*ROUND(0.7*H49,0))),0)</f>
        <v>0</v>
      </c>
      <c r="J49" s="13">
        <f t="shared" ref="J49:J53" si="16">IF((F49&gt;0),(F49*350),0)</f>
        <v>0</v>
      </c>
      <c r="K49" s="13">
        <f t="shared" ref="K49:K53" si="17">IF(($C$7&lt;2024),(IF((G49&gt;0),(G49*100),0)),(IF((G49&gt;0),(G49*125),0)))</f>
        <v>0</v>
      </c>
      <c r="L49" s="9"/>
      <c r="M49" s="9"/>
      <c r="N49" s="13">
        <f>IF(($C$7&lt;2024),(IF((M49="ja"),(IF(L49&lt;&gt;"",VLOOKUP(L49,Budget!$N$2:$O$8,2,FALSE),0)),(IF(L49&lt;&gt;"",VLOOKUP(L49,Budget!$L$2:$M$8,2,FALSE),0)))),(IF((M49="ja"),(IF(L49&lt;&gt;"",VLOOKUP(L49,Budget2024!$N$2:$O$8,2,FALSE),0)),(IF(L49&lt;&gt;"",VLOOKUP(L49,Budget2024!$L$2:$M$8,2,FALSE),0)))))</f>
        <v>0</v>
      </c>
      <c r="O49" s="18" t="str">
        <f t="shared" ref="O49:O53" si="18">IF((B49&gt;0),I49+J49+K49+N49*F49,"")</f>
        <v/>
      </c>
    </row>
    <row r="50" spans="1:20" ht="30" customHeight="1" x14ac:dyDescent="0.2">
      <c r="A50" s="4"/>
      <c r="B50" s="4"/>
      <c r="C50" s="4"/>
      <c r="D50" s="12" t="str">
        <f t="shared" si="14"/>
        <v/>
      </c>
      <c r="E50" s="9"/>
      <c r="F50" s="9"/>
      <c r="G50" s="9"/>
      <c r="H50" s="13">
        <f>IF(($E50&lt;&gt;""),VLOOKUP($E50,IF(($C$7&lt;2024),(Budget!$D$2:$E$33),(Budget2024!$D$2:$E$33)),2,FALSE),0)</f>
        <v>0</v>
      </c>
      <c r="I50" s="13">
        <f t="shared" si="15"/>
        <v>0</v>
      </c>
      <c r="J50" s="13">
        <f t="shared" si="16"/>
        <v>0</v>
      </c>
      <c r="K50" s="13">
        <f t="shared" si="17"/>
        <v>0</v>
      </c>
      <c r="L50" s="9"/>
      <c r="M50" s="9"/>
      <c r="N50" s="13">
        <f>IF(($C$7&lt;2024),(IF((M50="ja"),(IF(L50&lt;&gt;"",VLOOKUP(L50,Budget!$N$2:$O$8,2,FALSE),0)),(IF(L50&lt;&gt;"",VLOOKUP(L50,Budget!$L$2:$M$8,2,FALSE),0)))),(IF((M50="ja"),(IF(L50&lt;&gt;"",VLOOKUP(L50,Budget2024!$N$2:$O$8,2,FALSE),0)),(IF(L50&lt;&gt;"",VLOOKUP(L50,Budget2024!$L$2:$M$8,2,FALSE),0)))))</f>
        <v>0</v>
      </c>
      <c r="O50" s="18" t="str">
        <f t="shared" si="18"/>
        <v/>
      </c>
    </row>
    <row r="51" spans="1:20" ht="30" customHeight="1" x14ac:dyDescent="0.2">
      <c r="A51" s="4"/>
      <c r="B51" s="4"/>
      <c r="C51" s="4"/>
      <c r="D51" s="12" t="str">
        <f t="shared" si="14"/>
        <v/>
      </c>
      <c r="E51" s="9"/>
      <c r="F51" s="9"/>
      <c r="G51" s="9"/>
      <c r="H51" s="13">
        <f>IF(($E51&lt;&gt;""),VLOOKUP($E51,IF(($C$7&lt;2024),(Budget!$D$2:$E$33),(Budget2024!$D$2:$E$33)),2,FALSE),0)</f>
        <v>0</v>
      </c>
      <c r="I51" s="13">
        <f t="shared" si="15"/>
        <v>0</v>
      </c>
      <c r="J51" s="13">
        <f t="shared" si="16"/>
        <v>0</v>
      </c>
      <c r="K51" s="13">
        <f t="shared" si="17"/>
        <v>0</v>
      </c>
      <c r="L51" s="9"/>
      <c r="M51" s="9"/>
      <c r="N51" s="13">
        <f>IF(($C$7&lt;2024),(IF((M51="ja"),(IF(L51&lt;&gt;"",VLOOKUP(L51,Budget!$N$2:$O$8,2,FALSE),0)),(IF(L51&lt;&gt;"",VLOOKUP(L51,Budget!$L$2:$M$8,2,FALSE),0)))),(IF((M51="ja"),(IF(L51&lt;&gt;"",VLOOKUP(L51,Budget2024!$N$2:$O$8,2,FALSE),0)),(IF(L51&lt;&gt;"",VLOOKUP(L51,Budget2024!$L$2:$M$8,2,FALSE),0)))))</f>
        <v>0</v>
      </c>
      <c r="O51" s="18" t="str">
        <f t="shared" si="18"/>
        <v/>
      </c>
    </row>
    <row r="52" spans="1:20" ht="27.75" customHeight="1" x14ac:dyDescent="0.2">
      <c r="A52" s="4"/>
      <c r="B52" s="4"/>
      <c r="C52" s="4"/>
      <c r="D52" s="12" t="str">
        <f t="shared" si="14"/>
        <v/>
      </c>
      <c r="E52" s="9"/>
      <c r="F52" s="9"/>
      <c r="G52" s="9"/>
      <c r="H52" s="13">
        <f>IF(($E52&lt;&gt;""),VLOOKUP($E52,IF(($C$7&lt;2024),(Budget!$D$2:$E$33),(Budget2024!$D$2:$E$33)),2,FALSE),0)</f>
        <v>0</v>
      </c>
      <c r="I52" s="13">
        <f t="shared" si="15"/>
        <v>0</v>
      </c>
      <c r="J52" s="13">
        <f t="shared" si="16"/>
        <v>0</v>
      </c>
      <c r="K52" s="13">
        <f t="shared" si="17"/>
        <v>0</v>
      </c>
      <c r="L52" s="9"/>
      <c r="M52" s="9"/>
      <c r="N52" s="13">
        <f>IF(($C$7&lt;2024),(IF((M52="ja"),(IF(L52&lt;&gt;"",VLOOKUP(L52,Budget!$N$2:$O$8,2,FALSE),0)),(IF(L52&lt;&gt;"",VLOOKUP(L52,Budget!$L$2:$M$8,2,FALSE),0)))),(IF((M52="ja"),(IF(L52&lt;&gt;"",VLOOKUP(L52,Budget2024!$N$2:$O$8,2,FALSE),0)),(IF(L52&lt;&gt;"",VLOOKUP(L52,Budget2024!$L$2:$M$8,2,FALSE),0)))))</f>
        <v>0</v>
      </c>
      <c r="O52" s="18" t="str">
        <f t="shared" si="18"/>
        <v/>
      </c>
    </row>
    <row r="53" spans="1:20" ht="27.75" customHeight="1" thickBot="1" x14ac:dyDescent="0.25">
      <c r="A53" s="4"/>
      <c r="B53" s="4"/>
      <c r="C53" s="4"/>
      <c r="D53" s="12" t="str">
        <f t="shared" si="14"/>
        <v/>
      </c>
      <c r="E53" s="9"/>
      <c r="F53" s="9"/>
      <c r="G53" s="9"/>
      <c r="H53" s="13">
        <f>IF(($E53&lt;&gt;""),VLOOKUP($E53,IF(($C$7&lt;2024),(Budget!$D$2:$E$33),(Budget2024!$D$2:$E$33)),2,FALSE),0)</f>
        <v>0</v>
      </c>
      <c r="I53" s="13">
        <f t="shared" si="15"/>
        <v>0</v>
      </c>
      <c r="J53" s="13">
        <f t="shared" si="16"/>
        <v>0</v>
      </c>
      <c r="K53" s="13">
        <f t="shared" si="17"/>
        <v>0</v>
      </c>
      <c r="L53" s="9"/>
      <c r="M53" s="9"/>
      <c r="N53" s="13">
        <f>IF(($C$7&lt;2024),(IF((M53="ja"),(IF(L53&lt;&gt;"",VLOOKUP(L53,Budget!$N$2:$O$8,2,FALSE),0)),(IF(L53&lt;&gt;"",VLOOKUP(L53,Budget!$L$2:$M$8,2,FALSE),0)))),(IF((M53="ja"),(IF(L53&lt;&gt;"",VLOOKUP(L53,Budget2024!$N$2:$O$8,2,FALSE),0)),(IF(L53&lt;&gt;"",VLOOKUP(L53,Budget2024!$L$2:$M$8,2,FALSE),0)))))</f>
        <v>0</v>
      </c>
      <c r="O53" s="18" t="str">
        <f t="shared" si="18"/>
        <v/>
      </c>
    </row>
    <row r="54" spans="1:20" ht="27.75" customHeight="1" thickTop="1" thickBot="1" x14ac:dyDescent="0.25">
      <c r="N54" s="6" t="s">
        <v>0</v>
      </c>
      <c r="O54" s="5">
        <f ca="1">SUM(OFFSET(O48,,,ROW()-ROW(O48)))</f>
        <v>3326</v>
      </c>
    </row>
    <row r="55" spans="1:20" ht="35.25" customHeight="1" thickTop="1" x14ac:dyDescent="0.2"/>
    <row r="56" spans="1:20" ht="30" customHeight="1" x14ac:dyDescent="0.2">
      <c r="A56" s="45" t="s">
        <v>90</v>
      </c>
      <c r="B56" s="46"/>
      <c r="C56" s="46"/>
      <c r="D56" s="46"/>
      <c r="E56" s="46"/>
      <c r="F56" s="46"/>
      <c r="G56" s="46"/>
    </row>
    <row r="57" spans="1:20" ht="84.75" customHeight="1" x14ac:dyDescent="0.2">
      <c r="A57" s="7" t="s">
        <v>80</v>
      </c>
      <c r="B57" s="8" t="s">
        <v>66</v>
      </c>
      <c r="C57" s="8" t="s">
        <v>67</v>
      </c>
      <c r="D57" s="8" t="s">
        <v>101</v>
      </c>
      <c r="E57" s="8" t="s">
        <v>1</v>
      </c>
      <c r="F57" s="8" t="s">
        <v>65</v>
      </c>
      <c r="G57" s="8" t="s">
        <v>92</v>
      </c>
      <c r="H57" s="8" t="s">
        <v>75</v>
      </c>
      <c r="I57" s="8" t="s">
        <v>76</v>
      </c>
      <c r="J57" s="8" t="s">
        <v>74</v>
      </c>
      <c r="K57" s="8" t="s">
        <v>73</v>
      </c>
      <c r="L57" s="8" t="s">
        <v>77</v>
      </c>
      <c r="M57" s="8" t="s">
        <v>102</v>
      </c>
      <c r="N57" s="8" t="s">
        <v>63</v>
      </c>
      <c r="O57" s="8" t="s">
        <v>78</v>
      </c>
      <c r="P57" s="8" t="s">
        <v>72</v>
      </c>
      <c r="Q57" s="8" t="s">
        <v>70</v>
      </c>
      <c r="R57" s="8" t="s">
        <v>42</v>
      </c>
      <c r="S57" s="8" t="s">
        <v>79</v>
      </c>
      <c r="T57" s="8" t="s">
        <v>64</v>
      </c>
    </row>
    <row r="58" spans="1:20" ht="30" customHeight="1" x14ac:dyDescent="0.2">
      <c r="A58" s="4">
        <v>1</v>
      </c>
      <c r="B58" s="4">
        <v>29</v>
      </c>
      <c r="C58" s="4">
        <v>2</v>
      </c>
      <c r="D58" s="12">
        <f>IF(B58&gt;0,B58+C58,"")</f>
        <v>31</v>
      </c>
      <c r="E58" s="9" t="s">
        <v>19</v>
      </c>
      <c r="F58" s="9">
        <v>1</v>
      </c>
      <c r="G58" s="9">
        <v>1</v>
      </c>
      <c r="H58" s="13">
        <f>IF(($E58&lt;&gt;""),VLOOKUP($E58,IF(($C$7&lt;2024),(Budget!$H$2:$I$33),(Budget2024!$H$2:$I$33)),2,FALSE),0)</f>
        <v>59</v>
      </c>
      <c r="I58" s="13">
        <f>IF((B58&gt;0),(IF((D58&lt;=14),(D58*F58*H58),(14*F58*H58)+(D58-14)*F58*ROUND(0.7*H58,0))),0)</f>
        <v>1523</v>
      </c>
      <c r="J58" s="13">
        <f>IF((F58&gt;0),(F58*350),0)</f>
        <v>350</v>
      </c>
      <c r="K58" s="13">
        <f>IF(($C$7&lt;2024),(IF((G58&gt;0),(G58*100),0)),(IF((G58&gt;0),(G58*125),0)))</f>
        <v>125</v>
      </c>
      <c r="L58" s="9">
        <v>1</v>
      </c>
      <c r="M58" s="9">
        <v>5</v>
      </c>
      <c r="N58" s="13">
        <f>IF(($E58&lt;&gt;""),VLOOKUP($E58,IF(($C$7&lt;2024),(Budget!$D$2:$E$33),(Budget2024!$D$2:$E$33)),2,FALSE),0)</f>
        <v>135</v>
      </c>
      <c r="O58" s="14">
        <f>IF((M58&gt;0),(IF((M58&lt;=14),(M58*L58*N58),(14*L58*N58)+(M58-14)*L58*ROUND(0.7*N58,0))),0)</f>
        <v>675</v>
      </c>
      <c r="P58" s="13">
        <f>IF((F58&gt;0),F58+L58,0)</f>
        <v>2</v>
      </c>
      <c r="Q58" s="9" t="s">
        <v>48</v>
      </c>
      <c r="R58" s="9" t="s">
        <v>41</v>
      </c>
      <c r="S58" s="13">
        <f>IF(($C$7&lt;2024),
(IF((R58="ja"),
(IF(Q58&lt;&gt;"",VLOOKUP(Q58,Budget!$N$2:$O$8,2,FALSE),"")),
(IF(Q58&lt;&gt;"",VLOOKUP(Q58,Budget!$L$2:$M$8,2,FALSE),0)))),
(IF((R58="ja"),
(IF(Q58&lt;&gt;"",VLOOKUP(Q58,Budget2024!$N$2:$O$8,2,FALSE),"")),
(IF(Q58&lt;&gt;"",VLOOKUP(Q58,Budget2024!$L$2:$M$8,2,FALSE),0)))))</f>
        <v>395</v>
      </c>
      <c r="T58" s="18">
        <f>IF((B58&gt;0),I58+O58+J58+K58+S58*P58,"")</f>
        <v>3463</v>
      </c>
    </row>
    <row r="59" spans="1:20" ht="30" customHeight="1" x14ac:dyDescent="0.2">
      <c r="A59" s="4"/>
      <c r="B59" s="4"/>
      <c r="C59" s="4"/>
      <c r="D59" s="12" t="str">
        <f t="shared" ref="D59:D63" si="19">IF(B59&gt;0,B59+C59,"")</f>
        <v/>
      </c>
      <c r="E59" s="9"/>
      <c r="F59" s="9"/>
      <c r="G59" s="9"/>
      <c r="H59" s="13">
        <f>IF(($E59&lt;&gt;""),VLOOKUP($E59,IF(($C$7&lt;2024),(Budget!$H$2:$I$33),(Budget2024!$H$2:$I$33)),2,FALSE),0)</f>
        <v>0</v>
      </c>
      <c r="I59" s="13">
        <f t="shared" ref="I59:I63" si="20">IF((B59&gt;0),(IF((D59&lt;=14),(D59*F59*H59),(14*F59*H59)+(D59-14)*F59*ROUND(0.7*H59,0))),0)</f>
        <v>0</v>
      </c>
      <c r="J59" s="13">
        <f t="shared" ref="J59:J63" si="21">IF((F59&gt;0),(F59*350),0)</f>
        <v>0</v>
      </c>
      <c r="K59" s="13">
        <f t="shared" ref="K59:K63" si="22">IF(($C$7&lt;2024),(IF((G59&gt;0),(G59*100),0)),(IF((G59&gt;0),(G59*125),0)))</f>
        <v>0</v>
      </c>
      <c r="L59" s="9"/>
      <c r="M59" s="9"/>
      <c r="N59" s="13">
        <f>IF(($E59&lt;&gt;""),VLOOKUP($E59,IF(($C$7&lt;2024),(Budget!$D$2:$E$33),(Budget2024!$D$2:$E$33)),2,FALSE),0)</f>
        <v>0</v>
      </c>
      <c r="O59" s="14">
        <f t="shared" ref="O59:O63" si="23">IF((M59&gt;0),(IF((M59&lt;=14),(M59*L59*N59),(14*L59*N59)+(M59-14)*L59*ROUND(0.7*N59,0))),0)</f>
        <v>0</v>
      </c>
      <c r="P59" s="13">
        <f t="shared" ref="P59:P63" si="24">IF((F59&gt;0),F59+L59,0)</f>
        <v>0</v>
      </c>
      <c r="Q59" s="9"/>
      <c r="R59" s="9"/>
      <c r="S59" s="13">
        <f>IF(($C$7&lt;2024),
(IF((R59="ja"),
(IF(Q59&lt;&gt;"",VLOOKUP(Q59,Budget!$N$2:$O$8,2,FALSE),"")),
(IF(Q59&lt;&gt;"",VLOOKUP(Q59,Budget!$L$2:$M$8,2,FALSE),0)))),
(IF((R59="ja"),
(IF(Q59&lt;&gt;"",VLOOKUP(Q59,Budget2024!$N$2:$O$8,2,FALSE),"")),
(IF(Q59&lt;&gt;"",VLOOKUP(Q59,Budget2024!$L$2:$M$8,2,FALSE),0)))))</f>
        <v>0</v>
      </c>
      <c r="T59" s="18" t="str">
        <f t="shared" ref="T59:T63" si="25">IF((B59&gt;0),I59+O59+J59+K59+S59*P59,"")</f>
        <v/>
      </c>
    </row>
    <row r="60" spans="1:20" ht="30" customHeight="1" x14ac:dyDescent="0.2">
      <c r="A60" s="4"/>
      <c r="B60" s="4"/>
      <c r="C60" s="4"/>
      <c r="D60" s="12" t="str">
        <f t="shared" si="19"/>
        <v/>
      </c>
      <c r="E60" s="9"/>
      <c r="F60" s="9"/>
      <c r="G60" s="9"/>
      <c r="H60" s="13">
        <f>IF(($E60&lt;&gt;""),VLOOKUP($E60,IF(($C$7&lt;2024),(Budget!$H$2:$I$33),(Budget2024!$H$2:$I$33)),2,FALSE),0)</f>
        <v>0</v>
      </c>
      <c r="I60" s="13">
        <f t="shared" si="20"/>
        <v>0</v>
      </c>
      <c r="J60" s="13">
        <f t="shared" si="21"/>
        <v>0</v>
      </c>
      <c r="K60" s="13">
        <f t="shared" si="22"/>
        <v>0</v>
      </c>
      <c r="L60" s="9"/>
      <c r="M60" s="9"/>
      <c r="N60" s="13">
        <f>IF(($E60&lt;&gt;""),VLOOKUP($E60,IF(($C$7&lt;2024),(Budget!$D$2:$E$33),(Budget2024!$D$2:$E$33)),2,FALSE),0)</f>
        <v>0</v>
      </c>
      <c r="O60" s="14">
        <f t="shared" si="23"/>
        <v>0</v>
      </c>
      <c r="P60" s="13">
        <f>IF((F60&gt;0),F60+L60,0)</f>
        <v>0</v>
      </c>
      <c r="Q60" s="9"/>
      <c r="R60" s="9"/>
      <c r="S60" s="13">
        <f>IF(($C$7&lt;2024),
(IF((R60="ja"),
(IF(Q60&lt;&gt;"",VLOOKUP(Q60,Budget!$N$2:$O$8,2,FALSE),"")),
(IF(Q60&lt;&gt;"",VLOOKUP(Q60,Budget!$L$2:$M$8,2,FALSE),0)))),
(IF((R60="ja"),
(IF(Q60&lt;&gt;"",VLOOKUP(Q60,Budget2024!$N$2:$O$8,2,FALSE),"")),
(IF(Q60&lt;&gt;"",VLOOKUP(Q60,Budget2024!$L$2:$M$8,2,FALSE),0)))))</f>
        <v>0</v>
      </c>
      <c r="T60" s="18" t="str">
        <f t="shared" si="25"/>
        <v/>
      </c>
    </row>
    <row r="61" spans="1:20" ht="30" customHeight="1" x14ac:dyDescent="0.2">
      <c r="A61" s="4"/>
      <c r="B61" s="4"/>
      <c r="C61" s="4"/>
      <c r="D61" s="12" t="str">
        <f t="shared" si="19"/>
        <v/>
      </c>
      <c r="E61" s="9"/>
      <c r="F61" s="9"/>
      <c r="G61" s="9"/>
      <c r="H61" s="13">
        <f>IF(($E61&lt;&gt;""),VLOOKUP($E61,IF(($C$7&lt;2024),(Budget!$H$2:$I$33),(Budget2024!$H$2:$I$33)),2,FALSE),0)</f>
        <v>0</v>
      </c>
      <c r="I61" s="13">
        <f t="shared" si="20"/>
        <v>0</v>
      </c>
      <c r="J61" s="13">
        <f t="shared" si="21"/>
        <v>0</v>
      </c>
      <c r="K61" s="13">
        <f t="shared" si="22"/>
        <v>0</v>
      </c>
      <c r="L61" s="9"/>
      <c r="M61" s="9"/>
      <c r="N61" s="13">
        <f>IF(($E61&lt;&gt;""),VLOOKUP($E61,IF(($C$7&lt;2024),(Budget!$D$2:$E$33),(Budget2024!$D$2:$E$33)),2,FALSE),0)</f>
        <v>0</v>
      </c>
      <c r="O61" s="14">
        <f t="shared" si="23"/>
        <v>0</v>
      </c>
      <c r="P61" s="13">
        <f t="shared" si="24"/>
        <v>0</v>
      </c>
      <c r="Q61" s="9"/>
      <c r="R61" s="9"/>
      <c r="S61" s="13">
        <f>IF(($C$7&lt;2024),
(IF((R61="ja"),
(IF(Q61&lt;&gt;"",VLOOKUP(Q61,Budget!$N$2:$O$8,2,FALSE),"")),
(IF(Q61&lt;&gt;"",VLOOKUP(Q61,Budget!$L$2:$M$8,2,FALSE),0)))),
(IF((R61="ja"),
(IF(Q61&lt;&gt;"",VLOOKUP(Q61,Budget2024!$N$2:$O$8,2,FALSE),"")),
(IF(Q61&lt;&gt;"",VLOOKUP(Q61,Budget2024!$L$2:$M$8,2,FALSE),0)))))</f>
        <v>0</v>
      </c>
      <c r="T61" s="18" t="str">
        <f t="shared" si="25"/>
        <v/>
      </c>
    </row>
    <row r="62" spans="1:20" ht="27.75" customHeight="1" x14ac:dyDescent="0.2">
      <c r="A62" s="4"/>
      <c r="B62" s="4"/>
      <c r="C62" s="4"/>
      <c r="D62" s="12" t="str">
        <f t="shared" si="19"/>
        <v/>
      </c>
      <c r="E62" s="9"/>
      <c r="F62" s="9"/>
      <c r="G62" s="9"/>
      <c r="H62" s="13">
        <f>IF(($E62&lt;&gt;""),VLOOKUP($E62,IF(($C$7&lt;2024),(Budget!$H$2:$I$33),(Budget2024!$H$2:$I$33)),2,FALSE),0)</f>
        <v>0</v>
      </c>
      <c r="I62" s="13">
        <f t="shared" si="20"/>
        <v>0</v>
      </c>
      <c r="J62" s="13">
        <f t="shared" si="21"/>
        <v>0</v>
      </c>
      <c r="K62" s="13">
        <f t="shared" si="22"/>
        <v>0</v>
      </c>
      <c r="L62" s="9"/>
      <c r="M62" s="9"/>
      <c r="N62" s="13">
        <f>IF(($E62&lt;&gt;""),VLOOKUP($E62,IF(($C$7&lt;2024),(Budget!$D$2:$E$33),(Budget2024!$D$2:$E$33)),2,FALSE),0)</f>
        <v>0</v>
      </c>
      <c r="O62" s="14">
        <f t="shared" si="23"/>
        <v>0</v>
      </c>
      <c r="P62" s="13">
        <f t="shared" si="24"/>
        <v>0</v>
      </c>
      <c r="Q62" s="9"/>
      <c r="R62" s="9"/>
      <c r="S62" s="13">
        <f>IF(($C$7&lt;2024),
(IF((R62="ja"),
(IF(Q62&lt;&gt;"",VLOOKUP(Q62,Budget!$N$2:$O$8,2,FALSE),"")),
(IF(Q62&lt;&gt;"",VLOOKUP(Q62,Budget!$L$2:$M$8,2,FALSE),0)))),
(IF((R62="ja"),
(IF(Q62&lt;&gt;"",VLOOKUP(Q62,Budget2024!$N$2:$O$8,2,FALSE),"")),
(IF(Q62&lt;&gt;"",VLOOKUP(Q62,Budget2024!$L$2:$M$8,2,FALSE),0)))))</f>
        <v>0</v>
      </c>
      <c r="T62" s="18" t="str">
        <f t="shared" si="25"/>
        <v/>
      </c>
    </row>
    <row r="63" spans="1:20" ht="27.75" customHeight="1" thickBot="1" x14ac:dyDescent="0.25">
      <c r="A63" s="4"/>
      <c r="B63" s="4"/>
      <c r="C63" s="4"/>
      <c r="D63" s="12" t="str">
        <f t="shared" si="19"/>
        <v/>
      </c>
      <c r="E63" s="9"/>
      <c r="F63" s="9"/>
      <c r="G63" s="9"/>
      <c r="H63" s="13">
        <f>IF(($E63&lt;&gt;""),VLOOKUP($E63,IF(($C$7&lt;2024),(Budget!$H$2:$I$33),(Budget2024!$H$2:$I$33)),2,FALSE),0)</f>
        <v>0</v>
      </c>
      <c r="I63" s="13">
        <f t="shared" si="20"/>
        <v>0</v>
      </c>
      <c r="J63" s="13">
        <f t="shared" si="21"/>
        <v>0</v>
      </c>
      <c r="K63" s="13">
        <f t="shared" si="22"/>
        <v>0</v>
      </c>
      <c r="L63" s="9"/>
      <c r="M63" s="9"/>
      <c r="N63" s="13">
        <f>IF(($E63&lt;&gt;""),VLOOKUP($E63,IF(($C$7&lt;2024),(Budget!$D$2:$E$33),(Budget2024!$D$2:$E$33)),2,FALSE),0)</f>
        <v>0</v>
      </c>
      <c r="O63" s="14">
        <f t="shared" si="23"/>
        <v>0</v>
      </c>
      <c r="P63" s="13">
        <f t="shared" si="24"/>
        <v>0</v>
      </c>
      <c r="Q63" s="9"/>
      <c r="R63" s="9"/>
      <c r="S63" s="13">
        <f>IF(($C$7&lt;2024),
(IF((R63="ja"),
(IF(Q63&lt;&gt;"",VLOOKUP(Q63,Budget!$N$2:$O$8,2,FALSE),"")),
(IF(Q63&lt;&gt;"",VLOOKUP(Q63,Budget!$L$2:$M$8,2,FALSE),0)))),
(IF((R63="ja"),
(IF(Q63&lt;&gt;"",VLOOKUP(Q63,Budget2024!$N$2:$O$8,2,FALSE),"")),
(IF(Q63&lt;&gt;"",VLOOKUP(Q63,Budget2024!$L$2:$M$8,2,FALSE),0)))))</f>
        <v>0</v>
      </c>
      <c r="T63" s="18" t="str">
        <f t="shared" si="25"/>
        <v/>
      </c>
    </row>
    <row r="64" spans="1:20" ht="27.75" customHeight="1" thickTop="1" thickBot="1" x14ac:dyDescent="0.25">
      <c r="S64" s="6" t="s">
        <v>0</v>
      </c>
      <c r="T64" s="5">
        <f ca="1">SUM(OFFSET(T58,,,ROW()-ROW(T58)))</f>
        <v>3463</v>
      </c>
    </row>
    <row r="65" spans="1:20" ht="41.25" customHeight="1" thickTop="1" x14ac:dyDescent="0.2"/>
    <row r="66" spans="1:20" ht="30" customHeight="1" x14ac:dyDescent="0.2">
      <c r="A66" s="45" t="s">
        <v>91</v>
      </c>
      <c r="B66" s="46"/>
      <c r="C66" s="46"/>
      <c r="D66" s="46"/>
      <c r="E66" s="46"/>
      <c r="F66" s="46"/>
      <c r="G66" s="46"/>
    </row>
    <row r="67" spans="1:20" ht="87.75" customHeight="1" x14ac:dyDescent="0.2">
      <c r="A67" s="7" t="s">
        <v>80</v>
      </c>
      <c r="B67" s="8" t="s">
        <v>66</v>
      </c>
      <c r="C67" s="8" t="s">
        <v>67</v>
      </c>
      <c r="D67" s="8" t="s">
        <v>101</v>
      </c>
      <c r="E67" s="8" t="s">
        <v>1</v>
      </c>
      <c r="F67" s="8" t="s">
        <v>65</v>
      </c>
      <c r="G67" s="8" t="s">
        <v>92</v>
      </c>
      <c r="H67" s="8" t="s">
        <v>75</v>
      </c>
      <c r="I67" s="8" t="s">
        <v>76</v>
      </c>
      <c r="J67" s="8" t="s">
        <v>74</v>
      </c>
      <c r="K67" s="8" t="s">
        <v>73</v>
      </c>
      <c r="L67" s="8" t="s">
        <v>77</v>
      </c>
      <c r="M67" s="8" t="s">
        <v>102</v>
      </c>
      <c r="N67" s="8" t="s">
        <v>63</v>
      </c>
      <c r="O67" s="8" t="s">
        <v>78</v>
      </c>
      <c r="P67" s="8" t="s">
        <v>72</v>
      </c>
      <c r="Q67" s="8" t="s">
        <v>70</v>
      </c>
      <c r="R67" s="8" t="s">
        <v>42</v>
      </c>
      <c r="S67" s="8" t="s">
        <v>79</v>
      </c>
      <c r="T67" s="8" t="s">
        <v>64</v>
      </c>
    </row>
    <row r="68" spans="1:20" ht="30" customHeight="1" x14ac:dyDescent="0.2">
      <c r="A68" s="4">
        <v>1</v>
      </c>
      <c r="B68" s="4">
        <v>90</v>
      </c>
      <c r="C68" s="4">
        <v>2</v>
      </c>
      <c r="D68" s="12">
        <f>IF(B68&gt;0,B68+C68,"")</f>
        <v>92</v>
      </c>
      <c r="E68" s="9" t="s">
        <v>6</v>
      </c>
      <c r="F68" s="9">
        <v>1</v>
      </c>
      <c r="G68" s="9">
        <v>1</v>
      </c>
      <c r="H68" s="13">
        <f>IF(($E68&lt;&gt;""),VLOOKUP($E68,IF(($C$7&lt;2024),(Budget!$H$2:$I$33),(Budget2024!$H$2:$I$33)),2,FALSE),0)</f>
        <v>68</v>
      </c>
      <c r="I68" s="13">
        <f>IF((B68&gt;0),(IF((D68&lt;=14),(D68*F68*H68),(14*F68*H68)+(D68-14)*F68*ROUND(0.7*H68,0))),0)</f>
        <v>4696</v>
      </c>
      <c r="J68" s="13">
        <f>IF((F68&gt;0),(F68*500),0)</f>
        <v>500</v>
      </c>
      <c r="K68" s="13">
        <f>IF(($C$7&lt;2024),(IF((G68&gt;0),(G68*100),0)),(IF((G68&gt;0),(G68*125),0)))</f>
        <v>125</v>
      </c>
      <c r="L68" s="9">
        <v>1</v>
      </c>
      <c r="M68" s="9">
        <v>10</v>
      </c>
      <c r="N68" s="13">
        <f>IF(($E68&lt;&gt;""),VLOOKUP($E68,IF(($C$7&lt;2024),(Budget!$D$2:$E$33),(Budget2024!$D$2:$E$33)),2,FALSE),0)</f>
        <v>153</v>
      </c>
      <c r="O68" s="14">
        <f>IF((B68&gt;0),(IF((M68&lt;=14),(M68*L68*N68),(14*L68*N68)+(M68-14)*L68*ROUND(0.7*N68,0))),0)</f>
        <v>1530</v>
      </c>
      <c r="P68" s="13">
        <f>IF((F68&gt;0),F68+L68,0)</f>
        <v>2</v>
      </c>
      <c r="Q68" s="9" t="s">
        <v>46</v>
      </c>
      <c r="R68" s="9" t="s">
        <v>40</v>
      </c>
      <c r="S68" s="13">
        <f>IF(($C$7&lt;2024),
(IF((R68="ja"),
(IF(Q68&lt;&gt;"",VLOOKUP(Q68,Budget!$N$2:$O$8,2,FALSE),"")),
(IF(Q68&lt;&gt;"",VLOOKUP(Q68,Budget!$L$2:$M$8,2,FALSE),0)))),
(IF((R68="ja"),
(IF(Q68&lt;&gt;"",VLOOKUP(Q68,Budget2024!$N$2:$O$8,2,FALSE),"")),
(IF(Q68&lt;&gt;"",VLOOKUP(Q68,Budget2024!$L$2:$M$8,2,FALSE),0)))))</f>
        <v>285</v>
      </c>
      <c r="T68" s="18">
        <f>IF((B68&gt;0),I68+O68+J68+K68+S68*P68,"")</f>
        <v>7421</v>
      </c>
    </row>
    <row r="69" spans="1:20" ht="30" customHeight="1" x14ac:dyDescent="0.2">
      <c r="A69" s="4"/>
      <c r="B69" s="4"/>
      <c r="C69" s="4"/>
      <c r="D69" s="12" t="str">
        <f t="shared" ref="D69:D73" si="26">IF(B69&gt;0,B69+C69,"")</f>
        <v/>
      </c>
      <c r="E69" s="9"/>
      <c r="F69" s="9"/>
      <c r="G69" s="9"/>
      <c r="H69" s="13">
        <f>IF(($E69&lt;&gt;""),VLOOKUP($E69,IF(($C$7&lt;2024),(Budget!$H$2:$I$33),(Budget2024!$H$2:$I$33)),2,FALSE),0)</f>
        <v>0</v>
      </c>
      <c r="I69" s="13">
        <f t="shared" ref="I69:I73" si="27">IF((B69&gt;0),(IF((D69&lt;=14),(D69*F69*H69),(14*F69*H69)+(D69-14)*F69*ROUND(0.7*H69,0))),0)</f>
        <v>0</v>
      </c>
      <c r="J69" s="13">
        <f t="shared" ref="J69:J73" si="28">IF((F69&gt;0),(F69*500),0)</f>
        <v>0</v>
      </c>
      <c r="K69" s="13">
        <f t="shared" ref="K69:K73" si="29">IF(($C$7&lt;2024),(IF((G69&gt;0),(G69*100),0)),(IF((G69&gt;0),(G69*125),0)))</f>
        <v>0</v>
      </c>
      <c r="L69" s="9"/>
      <c r="M69" s="9"/>
      <c r="N69" s="13">
        <f>IF(($E69&lt;&gt;""),VLOOKUP($E69,IF(($C$7&lt;2024),(Budget!$D$2:$E$33),(Budget2024!$D$2:$E$33)),2,FALSE),0)</f>
        <v>0</v>
      </c>
      <c r="O69" s="14">
        <f t="shared" ref="O69:O73" si="30">IF((B69&gt;0),(IF((M69&lt;=14),(M69*L69*N69),(14*L69*N69)+(M69-14)*L69*ROUND(0.7*N69,0))),0)</f>
        <v>0</v>
      </c>
      <c r="P69" s="13">
        <f t="shared" ref="P69:P73" si="31">IF((F69&gt;0),F69+L69,0)</f>
        <v>0</v>
      </c>
      <c r="Q69" s="9"/>
      <c r="R69" s="9"/>
      <c r="S69" s="13">
        <f>IF(($C$7&lt;2024),
(IF((R69="ja"),
(IF(Q69&lt;&gt;"",VLOOKUP(Q69,Budget!$N$2:$O$8,2,FALSE),"")),
(IF(Q69&lt;&gt;"",VLOOKUP(Q69,Budget!$L$2:$M$8,2,FALSE),0)))),
(IF((R69="ja"),
(IF(Q69&lt;&gt;"",VLOOKUP(Q69,Budget2024!$N$2:$O$8,2,FALSE),"")),
(IF(Q69&lt;&gt;"",VLOOKUP(Q69,Budget2024!$L$2:$M$8,2,FALSE),0)))))</f>
        <v>0</v>
      </c>
      <c r="T69" s="18" t="str">
        <f t="shared" ref="T69:T73" si="32">IF((B69&gt;0),I69+O69+J69+K69+S69*P69,"")</f>
        <v/>
      </c>
    </row>
    <row r="70" spans="1:20" ht="30" customHeight="1" x14ac:dyDescent="0.2">
      <c r="A70" s="4"/>
      <c r="B70" s="4"/>
      <c r="C70" s="4"/>
      <c r="D70" s="12" t="str">
        <f t="shared" si="26"/>
        <v/>
      </c>
      <c r="E70" s="9"/>
      <c r="F70" s="9"/>
      <c r="G70" s="9"/>
      <c r="H70" s="13">
        <f>IF(($E70&lt;&gt;""),VLOOKUP($E70,IF(($C$7&lt;2024),(Budget!$H$2:$I$33),(Budget2024!$H$2:$I$33)),2,FALSE),0)</f>
        <v>0</v>
      </c>
      <c r="I70" s="13">
        <f t="shared" si="27"/>
        <v>0</v>
      </c>
      <c r="J70" s="13">
        <f t="shared" si="28"/>
        <v>0</v>
      </c>
      <c r="K70" s="13">
        <f t="shared" si="29"/>
        <v>0</v>
      </c>
      <c r="L70" s="9"/>
      <c r="M70" s="9"/>
      <c r="N70" s="13">
        <f>IF(($E70&lt;&gt;""),VLOOKUP($E70,IF(($C$7&lt;2024),(Budget!$D$2:$E$33),(Budget2024!$D$2:$E$33)),2,FALSE),0)</f>
        <v>0</v>
      </c>
      <c r="O70" s="14">
        <f t="shared" si="30"/>
        <v>0</v>
      </c>
      <c r="P70" s="13">
        <f>IF((F70&gt;0),F70+L70,0)</f>
        <v>0</v>
      </c>
      <c r="Q70" s="9"/>
      <c r="R70" s="9"/>
      <c r="S70" s="13">
        <f>IF(($C$7&lt;2024),
(IF((R70="ja"),
(IF(Q70&lt;&gt;"",VLOOKUP(Q70,Budget!$N$2:$O$8,2,FALSE),"")),
(IF(Q70&lt;&gt;"",VLOOKUP(Q70,Budget!$L$2:$M$8,2,FALSE),0)))),
(IF((R70="ja"),
(IF(Q70&lt;&gt;"",VLOOKUP(Q70,Budget2024!$N$2:$O$8,2,FALSE),"")),
(IF(Q70&lt;&gt;"",VLOOKUP(Q70,Budget2024!$L$2:$M$8,2,FALSE),0)))))</f>
        <v>0</v>
      </c>
      <c r="T70" s="18" t="str">
        <f t="shared" si="32"/>
        <v/>
      </c>
    </row>
    <row r="71" spans="1:20" ht="30" customHeight="1" x14ac:dyDescent="0.2">
      <c r="A71" s="4"/>
      <c r="B71" s="4"/>
      <c r="C71" s="4"/>
      <c r="D71" s="12" t="str">
        <f t="shared" si="26"/>
        <v/>
      </c>
      <c r="E71" s="9"/>
      <c r="F71" s="9"/>
      <c r="G71" s="9"/>
      <c r="H71" s="13">
        <f>IF(($E71&lt;&gt;""),VLOOKUP($E71,IF(($C$7&lt;2024),(Budget!$H$2:$I$33),(Budget2024!$H$2:$I$33)),2,FALSE),0)</f>
        <v>0</v>
      </c>
      <c r="I71" s="13">
        <f t="shared" si="27"/>
        <v>0</v>
      </c>
      <c r="J71" s="13">
        <f t="shared" si="28"/>
        <v>0</v>
      </c>
      <c r="K71" s="13">
        <f t="shared" si="29"/>
        <v>0</v>
      </c>
      <c r="L71" s="9"/>
      <c r="M71" s="9"/>
      <c r="N71" s="13">
        <f>IF(($E71&lt;&gt;""),VLOOKUP($E71,IF(($C$7&lt;2024),(Budget!$D$2:$E$33),(Budget2024!$D$2:$E$33)),2,FALSE),0)</f>
        <v>0</v>
      </c>
      <c r="O71" s="14">
        <f t="shared" si="30"/>
        <v>0</v>
      </c>
      <c r="P71" s="13">
        <f t="shared" si="31"/>
        <v>0</v>
      </c>
      <c r="Q71" s="9"/>
      <c r="R71" s="9"/>
      <c r="S71" s="13">
        <f>IF(($C$7&lt;2024),
(IF((R71="ja"),
(IF(Q71&lt;&gt;"",VLOOKUP(Q71,Budget!$N$2:$O$8,2,FALSE),"")),
(IF(Q71&lt;&gt;"",VLOOKUP(Q71,Budget!$L$2:$M$8,2,FALSE),0)))),
(IF((R71="ja"),
(IF(Q71&lt;&gt;"",VLOOKUP(Q71,Budget2024!$N$2:$O$8,2,FALSE),"")),
(IF(Q71&lt;&gt;"",VLOOKUP(Q71,Budget2024!$L$2:$M$8,2,FALSE),0)))))</f>
        <v>0</v>
      </c>
      <c r="T71" s="18" t="str">
        <f t="shared" si="32"/>
        <v/>
      </c>
    </row>
    <row r="72" spans="1:20" ht="27.75" customHeight="1" x14ac:dyDescent="0.2">
      <c r="A72" s="4"/>
      <c r="B72" s="4"/>
      <c r="C72" s="4"/>
      <c r="D72" s="12" t="str">
        <f t="shared" si="26"/>
        <v/>
      </c>
      <c r="E72" s="9"/>
      <c r="F72" s="9"/>
      <c r="G72" s="9"/>
      <c r="H72" s="13">
        <f>IF(($E72&lt;&gt;""),VLOOKUP($E72,IF(($C$7&lt;2024),(Budget!$H$2:$I$33),(Budget2024!$H$2:$I$33)),2,FALSE),0)</f>
        <v>0</v>
      </c>
      <c r="I72" s="13">
        <f t="shared" si="27"/>
        <v>0</v>
      </c>
      <c r="J72" s="13">
        <f t="shared" si="28"/>
        <v>0</v>
      </c>
      <c r="K72" s="13">
        <f t="shared" si="29"/>
        <v>0</v>
      </c>
      <c r="L72" s="9"/>
      <c r="M72" s="9"/>
      <c r="N72" s="13">
        <f>IF(($E72&lt;&gt;""),VLOOKUP($E72,IF(($C$7&lt;2024),(Budget!$D$2:$E$33),(Budget2024!$D$2:$E$33)),2,FALSE),0)</f>
        <v>0</v>
      </c>
      <c r="O72" s="14">
        <f t="shared" si="30"/>
        <v>0</v>
      </c>
      <c r="P72" s="13">
        <f t="shared" si="31"/>
        <v>0</v>
      </c>
      <c r="Q72" s="9"/>
      <c r="R72" s="9"/>
      <c r="S72" s="13">
        <f>IF(($C$7&lt;2024),
(IF((R72="ja"),
(IF(Q72&lt;&gt;"",VLOOKUP(Q72,Budget!$N$2:$O$8,2,FALSE),"")),
(IF(Q72&lt;&gt;"",VLOOKUP(Q72,Budget!$L$2:$M$8,2,FALSE),0)))),
(IF((R72="ja"),
(IF(Q72&lt;&gt;"",VLOOKUP(Q72,Budget2024!$N$2:$O$8,2,FALSE),"")),
(IF(Q72&lt;&gt;"",VLOOKUP(Q72,Budget2024!$L$2:$M$8,2,FALSE),0)))))</f>
        <v>0</v>
      </c>
      <c r="T72" s="18" t="str">
        <f t="shared" si="32"/>
        <v/>
      </c>
    </row>
    <row r="73" spans="1:20" ht="27.75" customHeight="1" thickBot="1" x14ac:dyDescent="0.25">
      <c r="A73" s="4"/>
      <c r="B73" s="4"/>
      <c r="C73" s="4"/>
      <c r="D73" s="12" t="str">
        <f t="shared" si="26"/>
        <v/>
      </c>
      <c r="E73" s="9"/>
      <c r="F73" s="9"/>
      <c r="G73" s="9"/>
      <c r="H73" s="13">
        <f>IF(($E73&lt;&gt;""),VLOOKUP($E73,IF(($C$7&lt;2024),(Budget!$H$2:$I$33),(Budget2024!$H$2:$I$33)),2,FALSE),0)</f>
        <v>0</v>
      </c>
      <c r="I73" s="13">
        <f t="shared" si="27"/>
        <v>0</v>
      </c>
      <c r="J73" s="13">
        <f t="shared" si="28"/>
        <v>0</v>
      </c>
      <c r="K73" s="13">
        <f t="shared" si="29"/>
        <v>0</v>
      </c>
      <c r="L73" s="9"/>
      <c r="M73" s="9"/>
      <c r="N73" s="13">
        <f>IF(($E73&lt;&gt;""),VLOOKUP($E73,IF(($C$7&lt;2024),(Budget!$D$2:$E$33),(Budget2024!$D$2:$E$33)),2,FALSE),0)</f>
        <v>0</v>
      </c>
      <c r="O73" s="14">
        <f t="shared" si="30"/>
        <v>0</v>
      </c>
      <c r="P73" s="13">
        <f t="shared" si="31"/>
        <v>0</v>
      </c>
      <c r="Q73" s="9"/>
      <c r="R73" s="9"/>
      <c r="S73" s="13">
        <f>IF(($C$7&lt;2024),
(IF((R73="ja"),
(IF(Q73&lt;&gt;"",VLOOKUP(Q73,Budget!$N$2:$O$8,2,FALSE),"")),
(IF(Q73&lt;&gt;"",VLOOKUP(Q73,Budget!$L$2:$M$8,2,FALSE),0)))),
(IF((R73="ja"),
(IF(Q73&lt;&gt;"",VLOOKUP(Q73,Budget2024!$N$2:$O$8,2,FALSE),"")),
(IF(Q73&lt;&gt;"",VLOOKUP(Q73,Budget2024!$L$2:$M$8,2,FALSE),0)))))</f>
        <v>0</v>
      </c>
      <c r="T73" s="18" t="str">
        <f t="shared" si="32"/>
        <v/>
      </c>
    </row>
    <row r="74" spans="1:20" ht="27.75" customHeight="1" thickTop="1" thickBot="1" x14ac:dyDescent="0.25">
      <c r="S74" s="6" t="s">
        <v>0</v>
      </c>
      <c r="T74" s="5">
        <f ca="1">SUM(OFFSET(T68,,,ROW()-ROW(T68)))</f>
        <v>7421</v>
      </c>
    </row>
    <row r="75" spans="1:20" ht="41.25" customHeight="1" thickTop="1" x14ac:dyDescent="0.2"/>
    <row r="76" spans="1:20" ht="45" customHeight="1" x14ac:dyDescent="0.2">
      <c r="A76" s="15" t="s">
        <v>93</v>
      </c>
      <c r="B76" s="16"/>
      <c r="C76" s="16"/>
      <c r="D76" s="16"/>
    </row>
    <row r="77" spans="1:20" ht="45" customHeight="1" x14ac:dyDescent="0.2">
      <c r="A77" s="7" t="s">
        <v>81</v>
      </c>
      <c r="B77" s="7" t="s">
        <v>94</v>
      </c>
      <c r="C77" s="8" t="s">
        <v>96</v>
      </c>
      <c r="D77" s="8" t="s">
        <v>95</v>
      </c>
    </row>
    <row r="78" spans="1:20" ht="45" customHeight="1" x14ac:dyDescent="0.2">
      <c r="A78" s="4">
        <v>1</v>
      </c>
      <c r="B78" s="4" t="s">
        <v>56</v>
      </c>
      <c r="C78" s="9">
        <v>1</v>
      </c>
      <c r="D78" s="18">
        <f>IF((C78&gt;0),IF(($C$7&lt;2024),(C78*575),(C78*680)),"")</f>
        <v>680</v>
      </c>
    </row>
    <row r="79" spans="1:20" ht="45" customHeight="1" x14ac:dyDescent="0.2">
      <c r="A79" s="4"/>
      <c r="B79" s="4"/>
      <c r="C79" s="9"/>
      <c r="D79" s="18" t="str">
        <f t="shared" ref="D79:D83" si="33">IF((C79&gt;0),IF(($C$7&lt;2024),(C79*575),(C79*680)),"")</f>
        <v/>
      </c>
    </row>
    <row r="80" spans="1:20" ht="45" customHeight="1" x14ac:dyDescent="0.2">
      <c r="A80" s="4"/>
      <c r="B80" s="4"/>
      <c r="C80" s="9"/>
      <c r="D80" s="18" t="str">
        <f t="shared" si="33"/>
        <v/>
      </c>
    </row>
    <row r="81" spans="1:4" ht="45" customHeight="1" x14ac:dyDescent="0.2">
      <c r="A81" s="4"/>
      <c r="B81" s="4"/>
      <c r="C81" s="9"/>
      <c r="D81" s="18" t="str">
        <f t="shared" si="33"/>
        <v/>
      </c>
    </row>
    <row r="82" spans="1:4" ht="45" customHeight="1" x14ac:dyDescent="0.2">
      <c r="A82" s="4"/>
      <c r="B82" s="4"/>
      <c r="C82" s="9"/>
      <c r="D82" s="18" t="str">
        <f t="shared" si="33"/>
        <v/>
      </c>
    </row>
    <row r="83" spans="1:4" ht="45" customHeight="1" thickBot="1" x14ac:dyDescent="0.25">
      <c r="A83" s="4"/>
      <c r="B83" s="4"/>
      <c r="C83" s="9"/>
      <c r="D83" s="18" t="str">
        <f t="shared" si="33"/>
        <v/>
      </c>
    </row>
    <row r="84" spans="1:4" ht="27.75" customHeight="1" thickTop="1" thickBot="1" x14ac:dyDescent="0.25">
      <c r="C84" s="6" t="s">
        <v>0</v>
      </c>
      <c r="D84" s="5">
        <f ca="1">SUM(OFFSET(D78,,,ROW()-ROW(D78)))</f>
        <v>680</v>
      </c>
    </row>
    <row r="85" spans="1:4" ht="27.75" customHeight="1" thickTop="1" x14ac:dyDescent="0.2"/>
  </sheetData>
  <sheetProtection algorithmName="SHA-512" hashValue="R+9AaO4xwFP7BpQjxSgE/fCRMD+R232+VTKQaa8xTOYJ3pBeCIoVd8oyqj0kF+c2Jnev+Gu6I6DTYePxTFINdg==" saltValue="txG2fTO8sOxbJis2pqAwYQ==" spinCount="100000" sheet="1" objects="1" scenarios="1"/>
  <mergeCells count="14">
    <mergeCell ref="A46:G46"/>
    <mergeCell ref="A56:G56"/>
    <mergeCell ref="A66:G66"/>
    <mergeCell ref="A33:G33"/>
    <mergeCell ref="A19:G19"/>
    <mergeCell ref="A17:H17"/>
    <mergeCell ref="A4:F4"/>
    <mergeCell ref="A12:H12"/>
    <mergeCell ref="A14:F14"/>
    <mergeCell ref="G13:H13"/>
    <mergeCell ref="G14:H14"/>
    <mergeCell ref="A13:F13"/>
    <mergeCell ref="A15:F15"/>
    <mergeCell ref="G15:H15"/>
  </mergeCells>
  <conditionalFormatting sqref="G15:H15">
    <cfRule type="cellIs" dxfId="0" priority="1" operator="lessThan">
      <formula>0</formula>
    </cfRule>
  </conditionalFormatting>
  <dataValidations count="7">
    <dataValidation type="whole" operator="greaterThanOrEqual" allowBlank="1" showInputMessage="1" showErrorMessage="1" errorTitle="Mindestdauer" error="Eine Langzeitmobilität muss ohne Anreise mindestens 30 Tage dauern" sqref="B68:B73" xr:uid="{B4AE752B-C614-483B-8CF2-6D3D5D698A17}">
      <formula1>30</formula1>
    </dataValidation>
    <dataValidation type="whole" allowBlank="1" showInputMessage="1" showErrorMessage="1" errorTitle="Dauer" error="Die Dauer dieser Aktivität kann zwischen 10 und 29 Tagen betragen" sqref="B58:B63" xr:uid="{C04EA8E2-57E8-4C8C-84AC-210E2CE56F92}">
      <formula1>10</formula1>
      <formula2>29</formula2>
    </dataValidation>
    <dataValidation type="whole" operator="lessThanOrEqual" allowBlank="1" showInputMessage="1" showErrorMessage="1" errorTitle="Maximale TN-Zahl" error="An einem Vorbereitenden Besuch können maximal 3 Personen teilnehmen." sqref="C78:C83" xr:uid="{BDD93929-EB7F-4B19-9042-F81902B8BD6A}">
      <formula1>3</formula1>
    </dataValidation>
    <dataValidation type="whole" allowBlank="1" showInputMessage="1" showErrorMessage="1" errorTitle="Dauer" error="Es können maximal 2 Reisetage bezuschusst werden, bei Green Travel bis zu 6. " sqref="C68:C73 C48:C53 C58:C63 C35:C43" xr:uid="{E6606AF5-6F89-4BF8-96DA-D1FBB6030441}">
      <formula1>0</formula1>
      <formula2>6</formula2>
    </dataValidation>
    <dataValidation type="whole" allowBlank="1" showInputMessage="1" showErrorMessage="1" errorTitle="Dauer" error="Kurse und Schulungen können zwischen 2 und 30 Tagen dauern." sqref="B35:B43" xr:uid="{275DEBB9-8229-4AC0-99CB-6FD3651CCC12}">
      <formula1>2</formula1>
      <formula2>30</formula2>
    </dataValidation>
    <dataValidation type="whole" allowBlank="1" showInputMessage="1" showErrorMessage="1" errorTitle="Dauer" error="Die Dauer eines Gruppenaustauschs beträgt zwischen 2 und 30 Tagen ohne Reise." sqref="B21:B30" xr:uid="{AE023421-8685-4F67-A541-3967F8EA4E84}">
      <formula1>2</formula1>
      <formula2>30</formula2>
    </dataValidation>
    <dataValidation type="whole" allowBlank="1" showInputMessage="1" showErrorMessage="1" error="Es können maximal 2 Reisetage bezuschusst werden, bei Green Travel bis zu 6. " sqref="C21:C30" xr:uid="{D63DB88C-ACCF-44D6-8311-5E42DEC7FF87}">
      <formula1>0</formula1>
      <formula2>6</formula2>
    </dataValidation>
  </dataValidations>
  <hyperlinks>
    <hyperlink ref="B2" r:id="rId1" display="Inoffzielles Erklärvideo des ISB - bitte hier klicken" xr:uid="{A451A6D5-43EF-2546-820A-5870F82550F8}"/>
  </hyperlinks>
  <pageMargins left="0.25" right="0.25" top="0.75" bottom="0.75" header="0.3" footer="0.3"/>
  <pageSetup paperSize="9" scale="41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8F6911D-1E4B-49C6-944A-843A4C6D4A48}">
          <x14:formula1>
            <xm:f>Referenzdaten!$A$2:$A$3</xm:f>
          </x14:formula1>
          <xm:sqref>R58:R63 R68:R73 M48:M53 N35:N43 Q21:Q30</xm:sqref>
        </x14:dataValidation>
        <x14:dataValidation type="list" allowBlank="1" showInputMessage="1" showErrorMessage="1" xr:uid="{00000000-0002-0000-0000-00000C000000}">
          <x14:formula1>
            <xm:f>Budget!$L$2:$L$8</xm:f>
          </x14:formula1>
          <xm:sqref>Q58:Q63 L48:L53 Q68:Q73 M35:M43 P21:P30</xm:sqref>
        </x14:dataValidation>
        <x14:dataValidation type="list" allowBlank="1" showInputMessage="1" showErrorMessage="1" xr:uid="{30CDBF6C-8F33-4932-BA64-5FBDE3D17C9F}">
          <x14:formula1>
            <xm:f>Referenzdaten!$B$3:$B$6</xm:f>
          </x14:formula1>
          <xm:sqref>B78:B83</xm:sqref>
        </x14:dataValidation>
        <x14:dataValidation type="list" allowBlank="1" showInputMessage="1" showErrorMessage="1" xr:uid="{FACD8582-A4D9-4303-932B-070B80FBF07B}">
          <x14:formula1>
            <xm:f>Referenzdaten!$D$2:$D$5</xm:f>
          </x14:formula1>
          <xm:sqref>C8</xm:sqref>
        </x14:dataValidation>
        <x14:dataValidation type="list" allowBlank="1" showInputMessage="1" showErrorMessage="1" xr:uid="{ACFA71F7-09E1-4ED1-BA67-D344FD07DC91}">
          <x14:formula1>
            <xm:f>Budget2024!$D$2:$D$33</xm:f>
          </x14:formula1>
          <xm:sqref>E21:E30</xm:sqref>
        </x14:dataValidation>
        <x14:dataValidation type="list" allowBlank="1" showInputMessage="1" showErrorMessage="1" xr:uid="{534FDE73-7117-4D43-8F9F-6106664F4656}">
          <x14:formula1>
            <xm:f>Budget!$D$2:$D$33</xm:f>
          </x14:formula1>
          <xm:sqref>E35:E43 E68:E73 E58:E63</xm:sqref>
        </x14:dataValidation>
        <x14:dataValidation type="list" allowBlank="1" showInputMessage="1" showErrorMessage="1" xr:uid="{D1D8075C-206A-4EAB-A897-BF2EEB875E71}">
          <x14:formula1>
            <xm:f>Budget!$D$2:$D$324</xm:f>
          </x14:formula1>
          <xm:sqref>E48:E53</xm:sqref>
        </x14:dataValidation>
        <x14:dataValidation type="list" allowBlank="1" showInputMessage="1" showErrorMessage="1" xr:uid="{33244DF5-6B41-4D9B-8577-1B099E473997}">
          <x14:formula1>
            <xm:f>Referenzdaten!$D$2:$D$6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D8"/>
  <sheetViews>
    <sheetView zoomScaleNormal="100" workbookViewId="0">
      <selection activeCell="B7" sqref="B7"/>
    </sheetView>
  </sheetViews>
  <sheetFormatPr baseColWidth="10" defaultColWidth="9.1640625" defaultRowHeight="15" x14ac:dyDescent="0.2"/>
  <cols>
    <col min="1" max="1" width="10.83203125" bestFit="1" customWidth="1"/>
    <col min="2" max="3" width="42.83203125" bestFit="1" customWidth="1"/>
    <col min="4" max="4" width="5" bestFit="1" customWidth="1"/>
    <col min="6" max="6" width="83.1640625" bestFit="1" customWidth="1"/>
    <col min="8" max="8" width="83.1640625" bestFit="1" customWidth="1"/>
  </cols>
  <sheetData>
    <row r="1" spans="1:4" x14ac:dyDescent="0.2">
      <c r="A1" s="30" t="s">
        <v>39</v>
      </c>
      <c r="B1" s="31" t="s">
        <v>3</v>
      </c>
      <c r="C1" s="31" t="s">
        <v>2</v>
      </c>
      <c r="D1" s="20" t="s">
        <v>98</v>
      </c>
    </row>
    <row r="2" spans="1:4" x14ac:dyDescent="0.2">
      <c r="A2" s="30" t="s">
        <v>40</v>
      </c>
      <c r="B2" s="30" t="s">
        <v>57</v>
      </c>
      <c r="C2" s="30" t="s">
        <v>59</v>
      </c>
      <c r="D2">
        <v>2021</v>
      </c>
    </row>
    <row r="3" spans="1:4" x14ac:dyDescent="0.2">
      <c r="A3" s="30" t="s">
        <v>41</v>
      </c>
      <c r="B3" s="30" t="s">
        <v>56</v>
      </c>
      <c r="C3" s="32" t="s">
        <v>60</v>
      </c>
      <c r="D3">
        <v>2022</v>
      </c>
    </row>
    <row r="4" spans="1:4" x14ac:dyDescent="0.2">
      <c r="A4" s="30"/>
      <c r="B4" s="30" t="s">
        <v>45</v>
      </c>
      <c r="D4">
        <v>2023</v>
      </c>
    </row>
    <row r="5" spans="1:4" x14ac:dyDescent="0.2">
      <c r="A5" s="30"/>
      <c r="B5" s="30" t="s">
        <v>58</v>
      </c>
      <c r="D5">
        <v>2024</v>
      </c>
    </row>
    <row r="6" spans="1:4" x14ac:dyDescent="0.2">
      <c r="B6" s="30" t="s">
        <v>59</v>
      </c>
      <c r="D6">
        <v>2025</v>
      </c>
    </row>
    <row r="7" spans="1:4" x14ac:dyDescent="0.2">
      <c r="B7" s="32" t="s">
        <v>60</v>
      </c>
    </row>
    <row r="8" spans="1:4" x14ac:dyDescent="0.2">
      <c r="B8" s="30"/>
    </row>
  </sheetData>
  <sheetProtection sheet="1" objects="1" scenarios="1"/>
  <sortState xmlns:xlrd2="http://schemas.microsoft.com/office/spreadsheetml/2017/richdata2" ref="H5:H26">
    <sortCondition ref="H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O33"/>
  <sheetViews>
    <sheetView workbookViewId="0">
      <selection activeCell="H5" sqref="H5"/>
    </sheetView>
  </sheetViews>
  <sheetFormatPr baseColWidth="10" defaultRowHeight="15" x14ac:dyDescent="0.2"/>
  <cols>
    <col min="1" max="1" width="24.6640625" bestFit="1" customWidth="1"/>
    <col min="2" max="2" width="5" bestFit="1" customWidth="1"/>
    <col min="3" max="3" width="4.83203125" customWidth="1"/>
    <col min="4" max="4" width="21" bestFit="1" customWidth="1"/>
    <col min="5" max="5" width="8.33203125" bestFit="1" customWidth="1"/>
    <col min="6" max="6" width="21" bestFit="1" customWidth="1"/>
    <col min="7" max="7" width="8.33203125" bestFit="1" customWidth="1"/>
    <col min="8" max="8" width="21" bestFit="1" customWidth="1"/>
    <col min="9" max="9" width="7.83203125" bestFit="1" customWidth="1"/>
    <col min="10" max="10" width="21" bestFit="1" customWidth="1"/>
    <col min="11" max="11" width="8" bestFit="1" customWidth="1"/>
    <col min="12" max="12" width="17.83203125" bestFit="1" customWidth="1"/>
    <col min="13" max="13" width="5" bestFit="1" customWidth="1"/>
    <col min="14" max="14" width="17.83203125" bestFit="1" customWidth="1"/>
    <col min="15" max="15" width="42.1640625" bestFit="1" customWidth="1"/>
  </cols>
  <sheetData>
    <row r="1" spans="1:15" ht="28" x14ac:dyDescent="0.2">
      <c r="A1" t="s">
        <v>4</v>
      </c>
      <c r="D1" s="1" t="s">
        <v>37</v>
      </c>
      <c r="E1" s="1" t="s">
        <v>55</v>
      </c>
      <c r="F1" s="1" t="s">
        <v>37</v>
      </c>
      <c r="G1" s="1" t="s">
        <v>71</v>
      </c>
      <c r="H1" s="1" t="s">
        <v>37</v>
      </c>
      <c r="I1" s="1" t="s">
        <v>61</v>
      </c>
      <c r="J1" s="1" t="s">
        <v>37</v>
      </c>
      <c r="K1" s="1" t="s">
        <v>36</v>
      </c>
      <c r="L1" s="1" t="s">
        <v>35</v>
      </c>
      <c r="N1" s="1" t="s">
        <v>39</v>
      </c>
    </row>
    <row r="2" spans="1:15" x14ac:dyDescent="0.2">
      <c r="A2" t="s">
        <v>52</v>
      </c>
      <c r="B2">
        <v>23</v>
      </c>
      <c r="D2" t="s">
        <v>13</v>
      </c>
      <c r="E2">
        <v>128</v>
      </c>
      <c r="F2" t="s">
        <v>13</v>
      </c>
      <c r="G2">
        <v>90</v>
      </c>
      <c r="H2" t="s">
        <v>13</v>
      </c>
      <c r="I2">
        <v>56</v>
      </c>
      <c r="J2" t="s">
        <v>13</v>
      </c>
      <c r="K2">
        <v>40</v>
      </c>
      <c r="L2" t="s">
        <v>52</v>
      </c>
      <c r="M2">
        <v>23</v>
      </c>
      <c r="N2" t="s">
        <v>52</v>
      </c>
      <c r="O2" t="s">
        <v>43</v>
      </c>
    </row>
    <row r="3" spans="1:15" x14ac:dyDescent="0.2">
      <c r="A3" t="s">
        <v>46</v>
      </c>
      <c r="B3">
        <v>180</v>
      </c>
      <c r="D3" t="s">
        <v>25</v>
      </c>
      <c r="E3">
        <v>112</v>
      </c>
      <c r="F3" t="s">
        <v>25</v>
      </c>
      <c r="G3">
        <v>79</v>
      </c>
      <c r="H3" t="s">
        <v>25</v>
      </c>
      <c r="I3">
        <v>48</v>
      </c>
      <c r="J3" t="s">
        <v>25</v>
      </c>
      <c r="K3">
        <v>34</v>
      </c>
      <c r="L3" t="s">
        <v>46</v>
      </c>
      <c r="M3">
        <v>180</v>
      </c>
      <c r="N3" t="s">
        <v>46</v>
      </c>
      <c r="O3">
        <v>210</v>
      </c>
    </row>
    <row r="4" spans="1:15" x14ac:dyDescent="0.2">
      <c r="A4" t="s">
        <v>47</v>
      </c>
      <c r="B4">
        <v>275</v>
      </c>
      <c r="D4" t="s">
        <v>5</v>
      </c>
      <c r="E4">
        <v>144</v>
      </c>
      <c r="F4" t="s">
        <v>5</v>
      </c>
      <c r="G4">
        <v>101</v>
      </c>
      <c r="H4" t="s">
        <v>5</v>
      </c>
      <c r="I4">
        <v>64</v>
      </c>
      <c r="J4" t="s">
        <v>5</v>
      </c>
      <c r="K4">
        <v>45</v>
      </c>
      <c r="L4" t="s">
        <v>47</v>
      </c>
      <c r="M4">
        <v>275</v>
      </c>
      <c r="N4" t="s">
        <v>47</v>
      </c>
      <c r="O4">
        <v>320</v>
      </c>
    </row>
    <row r="5" spans="1:15" x14ac:dyDescent="0.2">
      <c r="A5" t="s">
        <v>48</v>
      </c>
      <c r="B5">
        <v>360</v>
      </c>
      <c r="D5" t="s">
        <v>26</v>
      </c>
      <c r="E5">
        <v>112</v>
      </c>
      <c r="F5" t="s">
        <v>26</v>
      </c>
      <c r="G5">
        <v>79</v>
      </c>
      <c r="H5" t="s">
        <v>26</v>
      </c>
      <c r="I5">
        <v>48</v>
      </c>
      <c r="J5" t="s">
        <v>26</v>
      </c>
      <c r="K5">
        <v>34</v>
      </c>
      <c r="L5" t="s">
        <v>48</v>
      </c>
      <c r="M5">
        <v>360</v>
      </c>
      <c r="N5" t="s">
        <v>48</v>
      </c>
      <c r="O5">
        <v>410</v>
      </c>
    </row>
    <row r="6" spans="1:15" x14ac:dyDescent="0.2">
      <c r="A6" t="s">
        <v>49</v>
      </c>
      <c r="B6">
        <v>530</v>
      </c>
      <c r="D6" t="s">
        <v>16</v>
      </c>
      <c r="E6">
        <v>144</v>
      </c>
      <c r="F6" t="s">
        <v>16</v>
      </c>
      <c r="G6">
        <v>101</v>
      </c>
      <c r="H6" t="s">
        <v>16</v>
      </c>
      <c r="I6">
        <v>64</v>
      </c>
      <c r="J6" t="s">
        <v>16</v>
      </c>
      <c r="K6">
        <v>45</v>
      </c>
      <c r="L6" t="s">
        <v>49</v>
      </c>
      <c r="M6">
        <v>530</v>
      </c>
      <c r="N6" t="s">
        <v>49</v>
      </c>
      <c r="O6">
        <v>610</v>
      </c>
    </row>
    <row r="7" spans="1:15" x14ac:dyDescent="0.2">
      <c r="A7" t="s">
        <v>50</v>
      </c>
      <c r="B7">
        <v>820</v>
      </c>
      <c r="D7" t="s">
        <v>14</v>
      </c>
      <c r="E7">
        <v>128</v>
      </c>
      <c r="F7" t="s">
        <v>14</v>
      </c>
      <c r="G7">
        <v>90</v>
      </c>
      <c r="H7" t="s">
        <v>14</v>
      </c>
      <c r="I7">
        <v>56</v>
      </c>
      <c r="J7" t="s">
        <v>14</v>
      </c>
      <c r="K7">
        <v>40</v>
      </c>
      <c r="L7" t="s">
        <v>50</v>
      </c>
      <c r="M7">
        <v>820</v>
      </c>
      <c r="N7" t="s">
        <v>50</v>
      </c>
      <c r="O7" t="s">
        <v>43</v>
      </c>
    </row>
    <row r="8" spans="1:15" x14ac:dyDescent="0.2">
      <c r="A8" t="s">
        <v>51</v>
      </c>
      <c r="B8">
        <v>1500</v>
      </c>
      <c r="D8" t="s">
        <v>19</v>
      </c>
      <c r="E8">
        <v>128</v>
      </c>
      <c r="F8" t="s">
        <v>19</v>
      </c>
      <c r="G8">
        <v>90</v>
      </c>
      <c r="H8" t="s">
        <v>19</v>
      </c>
      <c r="I8">
        <v>56</v>
      </c>
      <c r="J8" t="s">
        <v>19</v>
      </c>
      <c r="K8">
        <v>40</v>
      </c>
      <c r="L8" t="s">
        <v>51</v>
      </c>
      <c r="M8">
        <v>1500</v>
      </c>
      <c r="N8" t="s">
        <v>51</v>
      </c>
      <c r="O8" t="s">
        <v>43</v>
      </c>
    </row>
    <row r="9" spans="1:15" x14ac:dyDescent="0.2">
      <c r="D9" t="s">
        <v>6</v>
      </c>
      <c r="E9">
        <v>144</v>
      </c>
      <c r="F9" t="s">
        <v>6</v>
      </c>
      <c r="G9">
        <v>101</v>
      </c>
      <c r="H9" t="s">
        <v>6</v>
      </c>
      <c r="I9">
        <v>64</v>
      </c>
      <c r="J9" t="s">
        <v>6</v>
      </c>
      <c r="K9">
        <v>45</v>
      </c>
    </row>
    <row r="10" spans="1:15" x14ac:dyDescent="0.2">
      <c r="D10" t="s">
        <v>17</v>
      </c>
      <c r="E10">
        <v>144</v>
      </c>
      <c r="F10" t="s">
        <v>17</v>
      </c>
      <c r="G10">
        <v>101</v>
      </c>
      <c r="H10" t="s">
        <v>17</v>
      </c>
      <c r="I10">
        <v>64</v>
      </c>
      <c r="J10" t="s">
        <v>17</v>
      </c>
      <c r="K10">
        <v>45</v>
      </c>
    </row>
    <row r="11" spans="1:15" x14ac:dyDescent="0.2">
      <c r="D11" t="s">
        <v>15</v>
      </c>
      <c r="E11">
        <v>128</v>
      </c>
      <c r="F11" t="s">
        <v>15</v>
      </c>
      <c r="G11">
        <v>90</v>
      </c>
      <c r="H11" t="s">
        <v>15</v>
      </c>
      <c r="I11">
        <v>56</v>
      </c>
      <c r="J11" t="s">
        <v>15</v>
      </c>
      <c r="K11">
        <v>40</v>
      </c>
    </row>
    <row r="12" spans="1:15" x14ac:dyDescent="0.2">
      <c r="D12" t="s">
        <v>27</v>
      </c>
      <c r="E12">
        <v>112</v>
      </c>
      <c r="F12" t="s">
        <v>27</v>
      </c>
      <c r="G12">
        <v>79</v>
      </c>
      <c r="H12" t="s">
        <v>27</v>
      </c>
      <c r="I12">
        <v>48</v>
      </c>
      <c r="J12" t="s">
        <v>27</v>
      </c>
      <c r="K12">
        <v>34</v>
      </c>
    </row>
    <row r="13" spans="1:15" x14ac:dyDescent="0.2">
      <c r="D13" t="s">
        <v>28</v>
      </c>
      <c r="E13">
        <v>112</v>
      </c>
      <c r="F13" t="s">
        <v>28</v>
      </c>
      <c r="G13">
        <v>79</v>
      </c>
      <c r="H13" t="s">
        <v>28</v>
      </c>
      <c r="I13">
        <v>48</v>
      </c>
      <c r="J13" t="s">
        <v>28</v>
      </c>
      <c r="K13">
        <v>34</v>
      </c>
    </row>
    <row r="14" spans="1:15" x14ac:dyDescent="0.2">
      <c r="D14" t="s">
        <v>11</v>
      </c>
      <c r="E14">
        <v>144</v>
      </c>
      <c r="F14" t="s">
        <v>11</v>
      </c>
      <c r="G14">
        <v>101</v>
      </c>
      <c r="H14" t="s">
        <v>11</v>
      </c>
      <c r="I14">
        <v>64</v>
      </c>
      <c r="J14" t="s">
        <v>11</v>
      </c>
      <c r="K14">
        <v>45</v>
      </c>
    </row>
    <row r="15" spans="1:15" x14ac:dyDescent="0.2">
      <c r="D15" t="s">
        <v>29</v>
      </c>
      <c r="E15">
        <v>112</v>
      </c>
      <c r="F15" t="s">
        <v>29</v>
      </c>
      <c r="G15">
        <v>79</v>
      </c>
      <c r="H15" t="s">
        <v>29</v>
      </c>
      <c r="I15">
        <v>48</v>
      </c>
      <c r="J15" t="s">
        <v>29</v>
      </c>
      <c r="K15">
        <v>34</v>
      </c>
    </row>
    <row r="16" spans="1:15" x14ac:dyDescent="0.2">
      <c r="D16" t="s">
        <v>7</v>
      </c>
      <c r="E16">
        <v>144</v>
      </c>
      <c r="F16" t="s">
        <v>7</v>
      </c>
      <c r="G16">
        <v>101</v>
      </c>
      <c r="H16" t="s">
        <v>7</v>
      </c>
      <c r="I16">
        <v>64</v>
      </c>
      <c r="J16" t="s">
        <v>7</v>
      </c>
      <c r="K16">
        <v>45</v>
      </c>
    </row>
    <row r="17" spans="4:11" x14ac:dyDescent="0.2">
      <c r="D17" t="s">
        <v>22</v>
      </c>
      <c r="E17">
        <v>128</v>
      </c>
      <c r="F17" t="s">
        <v>22</v>
      </c>
      <c r="G17">
        <v>90</v>
      </c>
      <c r="H17" t="s">
        <v>22</v>
      </c>
      <c r="I17">
        <v>56</v>
      </c>
      <c r="J17" t="s">
        <v>22</v>
      </c>
      <c r="K17">
        <v>40</v>
      </c>
    </row>
    <row r="18" spans="4:11" x14ac:dyDescent="0.2">
      <c r="D18" t="s">
        <v>8</v>
      </c>
      <c r="E18">
        <v>128</v>
      </c>
      <c r="F18" t="s">
        <v>8</v>
      </c>
      <c r="G18">
        <v>90</v>
      </c>
      <c r="H18" t="s">
        <v>8</v>
      </c>
      <c r="I18">
        <v>56</v>
      </c>
      <c r="J18" t="s">
        <v>8</v>
      </c>
      <c r="K18">
        <v>40</v>
      </c>
    </row>
    <row r="19" spans="4:11" x14ac:dyDescent="0.2">
      <c r="D19" t="s">
        <v>38</v>
      </c>
      <c r="E19">
        <v>112</v>
      </c>
      <c r="F19" t="s">
        <v>38</v>
      </c>
      <c r="G19">
        <v>79</v>
      </c>
      <c r="H19" t="s">
        <v>38</v>
      </c>
      <c r="I19">
        <v>48</v>
      </c>
      <c r="J19" t="s">
        <v>38</v>
      </c>
      <c r="K19">
        <v>34</v>
      </c>
    </row>
    <row r="20" spans="4:11" x14ac:dyDescent="0.2">
      <c r="D20" t="s">
        <v>12</v>
      </c>
      <c r="E20">
        <v>144</v>
      </c>
      <c r="F20" t="s">
        <v>12</v>
      </c>
      <c r="G20">
        <v>101</v>
      </c>
      <c r="H20" t="s">
        <v>12</v>
      </c>
      <c r="I20">
        <v>64</v>
      </c>
      <c r="J20" t="s">
        <v>12</v>
      </c>
      <c r="K20">
        <v>45</v>
      </c>
    </row>
    <row r="21" spans="4:11" x14ac:dyDescent="0.2">
      <c r="D21" t="s">
        <v>9</v>
      </c>
      <c r="E21">
        <v>128</v>
      </c>
      <c r="F21" t="s">
        <v>9</v>
      </c>
      <c r="G21">
        <v>90</v>
      </c>
      <c r="H21" t="s">
        <v>9</v>
      </c>
      <c r="I21">
        <v>56</v>
      </c>
      <c r="J21" t="s">
        <v>9</v>
      </c>
      <c r="K21">
        <v>40</v>
      </c>
    </row>
    <row r="22" spans="4:11" x14ac:dyDescent="0.2">
      <c r="D22" t="s">
        <v>31</v>
      </c>
      <c r="E22">
        <v>112</v>
      </c>
      <c r="F22" t="s">
        <v>31</v>
      </c>
      <c r="G22">
        <v>79</v>
      </c>
      <c r="H22" t="s">
        <v>31</v>
      </c>
      <c r="I22">
        <v>48</v>
      </c>
      <c r="J22" t="s">
        <v>31</v>
      </c>
      <c r="K22">
        <v>34</v>
      </c>
    </row>
    <row r="23" spans="4:11" x14ac:dyDescent="0.2">
      <c r="D23" t="s">
        <v>23</v>
      </c>
      <c r="E23">
        <v>128</v>
      </c>
      <c r="F23" t="s">
        <v>23</v>
      </c>
      <c r="G23">
        <v>90</v>
      </c>
      <c r="H23" t="s">
        <v>23</v>
      </c>
      <c r="I23">
        <v>56</v>
      </c>
      <c r="J23" t="s">
        <v>23</v>
      </c>
      <c r="K23">
        <v>40</v>
      </c>
    </row>
    <row r="24" spans="4:11" x14ac:dyDescent="0.2">
      <c r="D24" t="s">
        <v>32</v>
      </c>
      <c r="E24">
        <v>112</v>
      </c>
      <c r="F24" t="s">
        <v>32</v>
      </c>
      <c r="G24">
        <v>79</v>
      </c>
      <c r="H24" t="s">
        <v>32</v>
      </c>
      <c r="I24">
        <v>48</v>
      </c>
      <c r="J24" t="s">
        <v>32</v>
      </c>
      <c r="K24">
        <v>34</v>
      </c>
    </row>
    <row r="25" spans="4:11" x14ac:dyDescent="0.2">
      <c r="D25" t="s">
        <v>10</v>
      </c>
      <c r="E25">
        <v>144</v>
      </c>
      <c r="F25" t="s">
        <v>10</v>
      </c>
      <c r="G25">
        <v>101</v>
      </c>
      <c r="H25" t="s">
        <v>10</v>
      </c>
      <c r="I25">
        <v>64</v>
      </c>
      <c r="J25" t="s">
        <v>10</v>
      </c>
      <c r="K25">
        <v>45</v>
      </c>
    </row>
    <row r="26" spans="4:11" x14ac:dyDescent="0.2">
      <c r="D26" t="s">
        <v>99</v>
      </c>
      <c r="E26">
        <v>112</v>
      </c>
      <c r="F26" t="s">
        <v>99</v>
      </c>
      <c r="G26">
        <v>79</v>
      </c>
      <c r="H26" t="s">
        <v>99</v>
      </c>
      <c r="I26">
        <v>48</v>
      </c>
      <c r="J26" t="s">
        <v>99</v>
      </c>
      <c r="K26">
        <v>34</v>
      </c>
    </row>
    <row r="27" spans="4:11" x14ac:dyDescent="0.2">
      <c r="D27" t="s">
        <v>33</v>
      </c>
      <c r="E27">
        <v>112</v>
      </c>
      <c r="F27" t="s">
        <v>33</v>
      </c>
      <c r="G27">
        <v>79</v>
      </c>
      <c r="H27" t="s">
        <v>33</v>
      </c>
      <c r="I27">
        <v>48</v>
      </c>
      <c r="J27" t="s">
        <v>33</v>
      </c>
      <c r="K27">
        <v>34</v>
      </c>
    </row>
    <row r="28" spans="4:11" x14ac:dyDescent="0.2">
      <c r="D28" t="s">
        <v>24</v>
      </c>
      <c r="E28">
        <v>112</v>
      </c>
      <c r="F28" t="s">
        <v>24</v>
      </c>
      <c r="G28">
        <v>79</v>
      </c>
      <c r="H28" t="s">
        <v>24</v>
      </c>
      <c r="I28">
        <v>48</v>
      </c>
      <c r="J28" t="s">
        <v>24</v>
      </c>
      <c r="K28">
        <v>34</v>
      </c>
    </row>
    <row r="29" spans="4:11" x14ac:dyDescent="0.2">
      <c r="D29" t="s">
        <v>20</v>
      </c>
      <c r="E29">
        <v>128</v>
      </c>
      <c r="F29" t="s">
        <v>20</v>
      </c>
      <c r="G29">
        <v>90</v>
      </c>
      <c r="H29" t="s">
        <v>20</v>
      </c>
      <c r="I29">
        <v>56</v>
      </c>
      <c r="J29" t="s">
        <v>20</v>
      </c>
      <c r="K29">
        <v>40</v>
      </c>
    </row>
    <row r="30" spans="4:11" x14ac:dyDescent="0.2">
      <c r="D30" t="s">
        <v>18</v>
      </c>
      <c r="E30">
        <v>112</v>
      </c>
      <c r="F30" t="s">
        <v>18</v>
      </c>
      <c r="G30">
        <v>79</v>
      </c>
      <c r="H30" t="s">
        <v>18</v>
      </c>
      <c r="I30">
        <v>48</v>
      </c>
      <c r="J30" t="s">
        <v>18</v>
      </c>
      <c r="K30">
        <v>34</v>
      </c>
    </row>
    <row r="31" spans="4:11" x14ac:dyDescent="0.2">
      <c r="D31" t="s">
        <v>34</v>
      </c>
      <c r="E31">
        <v>112</v>
      </c>
      <c r="F31" t="s">
        <v>34</v>
      </c>
      <c r="G31">
        <v>79</v>
      </c>
      <c r="H31" t="s">
        <v>34</v>
      </c>
      <c r="I31">
        <v>48</v>
      </c>
      <c r="J31" t="s">
        <v>34</v>
      </c>
      <c r="K31">
        <v>34</v>
      </c>
    </row>
    <row r="32" spans="4:11" x14ac:dyDescent="0.2">
      <c r="D32" t="s">
        <v>30</v>
      </c>
      <c r="E32">
        <v>112</v>
      </c>
      <c r="F32" t="s">
        <v>30</v>
      </c>
      <c r="G32">
        <v>79</v>
      </c>
      <c r="H32" t="s">
        <v>30</v>
      </c>
      <c r="I32">
        <v>48</v>
      </c>
      <c r="J32" t="s">
        <v>30</v>
      </c>
      <c r="K32">
        <v>34</v>
      </c>
    </row>
    <row r="33" spans="4:11" x14ac:dyDescent="0.2">
      <c r="D33" t="s">
        <v>21</v>
      </c>
      <c r="E33">
        <v>128</v>
      </c>
      <c r="F33" t="s">
        <v>21</v>
      </c>
      <c r="G33">
        <v>90</v>
      </c>
      <c r="H33" t="s">
        <v>21</v>
      </c>
      <c r="I33">
        <v>56</v>
      </c>
      <c r="J33" t="s">
        <v>21</v>
      </c>
      <c r="K33">
        <v>40</v>
      </c>
    </row>
  </sheetData>
  <sheetProtection sheet="1" objects="1" scenarios="1"/>
  <autoFilter ref="A1:O33" xr:uid="{00000000-0001-0000-0200-000000000000}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F75E2-55D8-4570-9F1E-88E1BF4C0547}">
  <dimension ref="A1:O33"/>
  <sheetViews>
    <sheetView workbookViewId="0">
      <selection activeCell="H3" sqref="H3"/>
    </sheetView>
  </sheetViews>
  <sheetFormatPr baseColWidth="10" defaultRowHeight="15" x14ac:dyDescent="0.2"/>
  <cols>
    <col min="1" max="1" width="27" bestFit="1" customWidth="1"/>
    <col min="2" max="2" width="5" bestFit="1" customWidth="1"/>
    <col min="3" max="3" width="3.6640625" customWidth="1"/>
    <col min="4" max="4" width="21" bestFit="1" customWidth="1"/>
    <col min="5" max="5" width="10.5" bestFit="1" customWidth="1"/>
    <col min="6" max="6" width="21" bestFit="1" customWidth="1"/>
    <col min="7" max="7" width="10.5" bestFit="1" customWidth="1"/>
    <col min="8" max="8" width="21" bestFit="1" customWidth="1"/>
    <col min="9" max="9" width="10.1640625" bestFit="1" customWidth="1"/>
    <col min="10" max="10" width="21" bestFit="1" customWidth="1"/>
    <col min="11" max="11" width="10.33203125" bestFit="1" customWidth="1"/>
    <col min="12" max="12" width="17.83203125" bestFit="1" customWidth="1"/>
    <col min="13" max="13" width="5" bestFit="1" customWidth="1"/>
    <col min="14" max="14" width="17.83203125" bestFit="1" customWidth="1"/>
    <col min="15" max="15" width="42.1640625" bestFit="1" customWidth="1"/>
  </cols>
  <sheetData>
    <row r="1" spans="1:15" ht="28" x14ac:dyDescent="0.2">
      <c r="A1" t="s">
        <v>4</v>
      </c>
      <c r="D1" s="1" t="s">
        <v>37</v>
      </c>
      <c r="E1" s="1" t="s">
        <v>55</v>
      </c>
      <c r="F1" s="1" t="s">
        <v>37</v>
      </c>
      <c r="G1" s="1" t="s">
        <v>71</v>
      </c>
      <c r="H1" s="1" t="s">
        <v>37</v>
      </c>
      <c r="I1" s="1" t="s">
        <v>61</v>
      </c>
      <c r="J1" s="1" t="s">
        <v>37</v>
      </c>
      <c r="K1" s="1" t="s">
        <v>36</v>
      </c>
      <c r="L1" s="1" t="s">
        <v>35</v>
      </c>
      <c r="N1" s="1" t="s">
        <v>39</v>
      </c>
    </row>
    <row r="2" spans="1:15" x14ac:dyDescent="0.2">
      <c r="A2" t="s">
        <v>52</v>
      </c>
      <c r="B2">
        <v>28</v>
      </c>
      <c r="D2" t="s">
        <v>13</v>
      </c>
      <c r="E2">
        <v>153</v>
      </c>
      <c r="F2" t="s">
        <v>13</v>
      </c>
      <c r="G2">
        <v>107</v>
      </c>
      <c r="H2" t="s">
        <v>13</v>
      </c>
      <c r="I2">
        <v>68</v>
      </c>
      <c r="J2" t="s">
        <v>13</v>
      </c>
      <c r="K2">
        <v>48</v>
      </c>
      <c r="L2" t="s">
        <v>52</v>
      </c>
      <c r="M2">
        <v>28</v>
      </c>
      <c r="N2" t="s">
        <v>52</v>
      </c>
      <c r="O2">
        <v>56</v>
      </c>
    </row>
    <row r="3" spans="1:15" x14ac:dyDescent="0.2">
      <c r="A3" t="s">
        <v>46</v>
      </c>
      <c r="B3">
        <v>211</v>
      </c>
      <c r="D3" t="s">
        <v>25</v>
      </c>
      <c r="E3">
        <v>118</v>
      </c>
      <c r="F3" t="s">
        <v>25</v>
      </c>
      <c r="G3">
        <v>83</v>
      </c>
      <c r="H3" t="s">
        <v>25</v>
      </c>
      <c r="I3">
        <v>51</v>
      </c>
      <c r="J3" t="s">
        <v>25</v>
      </c>
      <c r="K3">
        <v>36</v>
      </c>
      <c r="L3" t="s">
        <v>46</v>
      </c>
      <c r="M3">
        <v>211</v>
      </c>
      <c r="N3" t="s">
        <v>46</v>
      </c>
      <c r="O3">
        <v>285</v>
      </c>
    </row>
    <row r="4" spans="1:15" x14ac:dyDescent="0.2">
      <c r="A4" t="s">
        <v>47</v>
      </c>
      <c r="B4">
        <v>309</v>
      </c>
      <c r="D4" t="s">
        <v>5</v>
      </c>
      <c r="E4">
        <v>153</v>
      </c>
      <c r="F4" t="s">
        <v>5</v>
      </c>
      <c r="G4">
        <v>107</v>
      </c>
      <c r="H4" t="s">
        <v>5</v>
      </c>
      <c r="I4">
        <v>68</v>
      </c>
      <c r="J4" t="s">
        <v>5</v>
      </c>
      <c r="K4">
        <v>48</v>
      </c>
      <c r="L4" t="s">
        <v>47</v>
      </c>
      <c r="M4">
        <v>309</v>
      </c>
      <c r="N4" t="s">
        <v>47</v>
      </c>
      <c r="O4">
        <v>417</v>
      </c>
    </row>
    <row r="5" spans="1:15" x14ac:dyDescent="0.2">
      <c r="A5" t="s">
        <v>48</v>
      </c>
      <c r="B5">
        <v>395</v>
      </c>
      <c r="D5" t="s">
        <v>26</v>
      </c>
      <c r="E5">
        <v>135</v>
      </c>
      <c r="F5" t="s">
        <v>26</v>
      </c>
      <c r="G5">
        <v>95</v>
      </c>
      <c r="H5" t="s">
        <v>26</v>
      </c>
      <c r="I5">
        <v>59</v>
      </c>
      <c r="J5" t="s">
        <v>26</v>
      </c>
      <c r="K5">
        <v>41</v>
      </c>
      <c r="L5" t="s">
        <v>48</v>
      </c>
      <c r="M5">
        <v>395</v>
      </c>
      <c r="N5" t="s">
        <v>48</v>
      </c>
      <c r="O5">
        <v>535</v>
      </c>
    </row>
    <row r="6" spans="1:15" x14ac:dyDescent="0.2">
      <c r="A6" t="s">
        <v>49</v>
      </c>
      <c r="B6">
        <v>580</v>
      </c>
      <c r="D6" t="s">
        <v>16</v>
      </c>
      <c r="E6">
        <v>153</v>
      </c>
      <c r="F6" t="s">
        <v>16</v>
      </c>
      <c r="G6">
        <v>107</v>
      </c>
      <c r="H6" t="s">
        <v>16</v>
      </c>
      <c r="I6">
        <v>68</v>
      </c>
      <c r="J6" t="s">
        <v>16</v>
      </c>
      <c r="K6">
        <v>48</v>
      </c>
      <c r="L6" t="s">
        <v>49</v>
      </c>
      <c r="M6">
        <v>580</v>
      </c>
      <c r="N6" t="s">
        <v>49</v>
      </c>
      <c r="O6">
        <v>785</v>
      </c>
    </row>
    <row r="7" spans="1:15" x14ac:dyDescent="0.2">
      <c r="A7" t="s">
        <v>50</v>
      </c>
      <c r="B7">
        <v>1188</v>
      </c>
      <c r="D7" t="s">
        <v>14</v>
      </c>
      <c r="E7">
        <v>153</v>
      </c>
      <c r="F7" t="s">
        <v>14</v>
      </c>
      <c r="G7">
        <v>107</v>
      </c>
      <c r="H7" t="s">
        <v>14</v>
      </c>
      <c r="I7">
        <v>68</v>
      </c>
      <c r="J7" t="s">
        <v>14</v>
      </c>
      <c r="K7">
        <v>48</v>
      </c>
      <c r="L7" t="s">
        <v>50</v>
      </c>
      <c r="M7">
        <v>1188</v>
      </c>
      <c r="N7" t="s">
        <v>50</v>
      </c>
      <c r="O7" t="s">
        <v>105</v>
      </c>
    </row>
    <row r="8" spans="1:15" x14ac:dyDescent="0.2">
      <c r="A8" t="s">
        <v>51</v>
      </c>
      <c r="B8">
        <v>1735</v>
      </c>
      <c r="D8" t="s">
        <v>19</v>
      </c>
      <c r="E8">
        <v>135</v>
      </c>
      <c r="F8" t="s">
        <v>19</v>
      </c>
      <c r="G8">
        <v>95</v>
      </c>
      <c r="H8" t="s">
        <v>19</v>
      </c>
      <c r="I8">
        <v>59</v>
      </c>
      <c r="J8" t="s">
        <v>19</v>
      </c>
      <c r="K8">
        <v>41</v>
      </c>
      <c r="L8" t="s">
        <v>51</v>
      </c>
      <c r="M8">
        <v>1735</v>
      </c>
      <c r="N8" t="s">
        <v>51</v>
      </c>
      <c r="O8" t="s">
        <v>105</v>
      </c>
    </row>
    <row r="9" spans="1:15" x14ac:dyDescent="0.2">
      <c r="D9" t="s">
        <v>6</v>
      </c>
      <c r="E9">
        <v>153</v>
      </c>
      <c r="F9" t="s">
        <v>6</v>
      </c>
      <c r="G9">
        <v>107</v>
      </c>
      <c r="H9" t="s">
        <v>6</v>
      </c>
      <c r="I9">
        <v>68</v>
      </c>
      <c r="J9" t="s">
        <v>6</v>
      </c>
      <c r="K9">
        <v>48</v>
      </c>
    </row>
    <row r="10" spans="1:15" x14ac:dyDescent="0.2">
      <c r="D10" t="s">
        <v>17</v>
      </c>
      <c r="E10">
        <v>153</v>
      </c>
      <c r="F10" t="s">
        <v>17</v>
      </c>
      <c r="G10">
        <v>107</v>
      </c>
      <c r="H10" t="s">
        <v>17</v>
      </c>
      <c r="I10">
        <v>68</v>
      </c>
      <c r="J10" t="s">
        <v>17</v>
      </c>
      <c r="K10">
        <v>48</v>
      </c>
    </row>
    <row r="11" spans="1:15" x14ac:dyDescent="0.2">
      <c r="D11" t="s">
        <v>15</v>
      </c>
      <c r="E11">
        <v>153</v>
      </c>
      <c r="F11" t="s">
        <v>15</v>
      </c>
      <c r="G11">
        <v>107</v>
      </c>
      <c r="H11" t="s">
        <v>15</v>
      </c>
      <c r="I11">
        <v>68</v>
      </c>
      <c r="J11" t="s">
        <v>15</v>
      </c>
      <c r="K11">
        <v>48</v>
      </c>
    </row>
    <row r="12" spans="1:15" x14ac:dyDescent="0.2">
      <c r="D12" t="s">
        <v>27</v>
      </c>
      <c r="E12">
        <v>118</v>
      </c>
      <c r="F12" t="s">
        <v>27</v>
      </c>
      <c r="G12">
        <v>83</v>
      </c>
      <c r="H12" t="s">
        <v>27</v>
      </c>
      <c r="I12">
        <v>51</v>
      </c>
      <c r="J12" t="s">
        <v>27</v>
      </c>
      <c r="K12">
        <v>36</v>
      </c>
    </row>
    <row r="13" spans="1:15" x14ac:dyDescent="0.2">
      <c r="D13" t="s">
        <v>28</v>
      </c>
      <c r="E13">
        <v>135</v>
      </c>
      <c r="F13" t="s">
        <v>28</v>
      </c>
      <c r="G13">
        <v>95</v>
      </c>
      <c r="H13" t="s">
        <v>28</v>
      </c>
      <c r="I13">
        <v>59</v>
      </c>
      <c r="J13" t="s">
        <v>28</v>
      </c>
      <c r="K13">
        <v>41</v>
      </c>
    </row>
    <row r="14" spans="1:15" x14ac:dyDescent="0.2">
      <c r="D14" t="s">
        <v>11</v>
      </c>
      <c r="E14">
        <v>153</v>
      </c>
      <c r="F14" t="s">
        <v>11</v>
      </c>
      <c r="G14">
        <v>107</v>
      </c>
      <c r="H14" t="s">
        <v>11</v>
      </c>
      <c r="I14">
        <v>68</v>
      </c>
      <c r="J14" t="s">
        <v>11</v>
      </c>
      <c r="K14">
        <v>48</v>
      </c>
    </row>
    <row r="15" spans="1:15" x14ac:dyDescent="0.2">
      <c r="D15" t="s">
        <v>29</v>
      </c>
      <c r="E15">
        <v>118</v>
      </c>
      <c r="F15" t="s">
        <v>29</v>
      </c>
      <c r="G15">
        <v>83</v>
      </c>
      <c r="H15" t="s">
        <v>29</v>
      </c>
      <c r="I15">
        <v>51</v>
      </c>
      <c r="J15" t="s">
        <v>29</v>
      </c>
      <c r="K15">
        <v>36</v>
      </c>
    </row>
    <row r="16" spans="1:15" x14ac:dyDescent="0.2">
      <c r="D16" t="s">
        <v>7</v>
      </c>
      <c r="E16">
        <v>153</v>
      </c>
      <c r="F16" t="s">
        <v>7</v>
      </c>
      <c r="G16">
        <v>107</v>
      </c>
      <c r="H16" t="s">
        <v>7</v>
      </c>
      <c r="I16">
        <v>68</v>
      </c>
      <c r="J16" t="s">
        <v>7</v>
      </c>
      <c r="K16">
        <v>48</v>
      </c>
    </row>
    <row r="17" spans="4:11" x14ac:dyDescent="0.2">
      <c r="D17" t="s">
        <v>22</v>
      </c>
      <c r="E17">
        <v>135</v>
      </c>
      <c r="F17" t="s">
        <v>22</v>
      </c>
      <c r="G17">
        <v>95</v>
      </c>
      <c r="H17" t="s">
        <v>22</v>
      </c>
      <c r="I17">
        <v>59</v>
      </c>
      <c r="J17" t="s">
        <v>22</v>
      </c>
      <c r="K17">
        <v>41</v>
      </c>
    </row>
    <row r="18" spans="4:11" x14ac:dyDescent="0.2">
      <c r="D18" t="s">
        <v>8</v>
      </c>
      <c r="E18">
        <v>153</v>
      </c>
      <c r="F18" t="s">
        <v>8</v>
      </c>
      <c r="G18">
        <v>107</v>
      </c>
      <c r="H18" t="s">
        <v>8</v>
      </c>
      <c r="I18">
        <v>68</v>
      </c>
      <c r="J18" t="s">
        <v>8</v>
      </c>
      <c r="K18">
        <v>48</v>
      </c>
    </row>
    <row r="19" spans="4:11" x14ac:dyDescent="0.2">
      <c r="D19" t="s">
        <v>38</v>
      </c>
      <c r="E19">
        <v>118</v>
      </c>
      <c r="F19" t="s">
        <v>38</v>
      </c>
      <c r="G19">
        <v>83</v>
      </c>
      <c r="H19" t="s">
        <v>38</v>
      </c>
      <c r="I19">
        <v>51</v>
      </c>
      <c r="J19" t="s">
        <v>38</v>
      </c>
      <c r="K19">
        <v>36</v>
      </c>
    </row>
    <row r="20" spans="4:11" x14ac:dyDescent="0.2">
      <c r="D20" t="s">
        <v>12</v>
      </c>
      <c r="E20">
        <v>153</v>
      </c>
      <c r="F20" t="s">
        <v>12</v>
      </c>
      <c r="G20">
        <v>107</v>
      </c>
      <c r="H20" t="s">
        <v>12</v>
      </c>
      <c r="I20">
        <v>68</v>
      </c>
      <c r="J20" t="s">
        <v>12</v>
      </c>
      <c r="K20">
        <v>48</v>
      </c>
    </row>
    <row r="21" spans="4:11" x14ac:dyDescent="0.2">
      <c r="D21" t="s">
        <v>9</v>
      </c>
      <c r="E21">
        <v>153</v>
      </c>
      <c r="F21" t="s">
        <v>9</v>
      </c>
      <c r="G21">
        <v>107</v>
      </c>
      <c r="H21" t="s">
        <v>9</v>
      </c>
      <c r="I21">
        <v>68</v>
      </c>
      <c r="J21" t="s">
        <v>9</v>
      </c>
      <c r="K21">
        <v>48</v>
      </c>
    </row>
    <row r="22" spans="4:11" x14ac:dyDescent="0.2">
      <c r="D22" t="s">
        <v>31</v>
      </c>
      <c r="E22">
        <v>118</v>
      </c>
      <c r="F22" t="s">
        <v>31</v>
      </c>
      <c r="G22">
        <v>83</v>
      </c>
      <c r="H22" t="s">
        <v>31</v>
      </c>
      <c r="I22">
        <v>51</v>
      </c>
      <c r="J22" t="s">
        <v>31</v>
      </c>
      <c r="K22">
        <v>36</v>
      </c>
    </row>
    <row r="23" spans="4:11" x14ac:dyDescent="0.2">
      <c r="D23" t="s">
        <v>23</v>
      </c>
      <c r="E23">
        <v>135</v>
      </c>
      <c r="F23" t="s">
        <v>23</v>
      </c>
      <c r="G23">
        <v>95</v>
      </c>
      <c r="H23" t="s">
        <v>23</v>
      </c>
      <c r="I23">
        <v>59</v>
      </c>
      <c r="J23" t="s">
        <v>23</v>
      </c>
      <c r="K23">
        <v>41</v>
      </c>
    </row>
    <row r="24" spans="4:11" x14ac:dyDescent="0.2">
      <c r="D24" t="s">
        <v>32</v>
      </c>
      <c r="E24">
        <v>118</v>
      </c>
      <c r="F24" t="s">
        <v>32</v>
      </c>
      <c r="G24">
        <v>83</v>
      </c>
      <c r="H24" t="s">
        <v>32</v>
      </c>
      <c r="I24">
        <v>51</v>
      </c>
      <c r="J24" t="s">
        <v>32</v>
      </c>
      <c r="K24">
        <v>36</v>
      </c>
    </row>
    <row r="25" spans="4:11" x14ac:dyDescent="0.2">
      <c r="D25" t="s">
        <v>10</v>
      </c>
      <c r="E25">
        <v>153</v>
      </c>
      <c r="F25" t="s">
        <v>10</v>
      </c>
      <c r="G25">
        <v>107</v>
      </c>
      <c r="H25" t="s">
        <v>10</v>
      </c>
      <c r="I25">
        <v>68</v>
      </c>
      <c r="J25" t="s">
        <v>10</v>
      </c>
      <c r="K25">
        <v>48</v>
      </c>
    </row>
    <row r="26" spans="4:11" x14ac:dyDescent="0.2">
      <c r="D26" t="s">
        <v>99</v>
      </c>
      <c r="E26">
        <v>118</v>
      </c>
      <c r="F26" t="s">
        <v>99</v>
      </c>
      <c r="G26">
        <v>83</v>
      </c>
      <c r="H26" t="s">
        <v>99</v>
      </c>
      <c r="I26">
        <v>51</v>
      </c>
      <c r="J26" t="s">
        <v>99</v>
      </c>
      <c r="K26">
        <v>36</v>
      </c>
    </row>
    <row r="27" spans="4:11" x14ac:dyDescent="0.2">
      <c r="D27" t="s">
        <v>33</v>
      </c>
      <c r="E27">
        <v>135</v>
      </c>
      <c r="F27" t="s">
        <v>33</v>
      </c>
      <c r="G27">
        <v>95</v>
      </c>
      <c r="H27" t="s">
        <v>33</v>
      </c>
      <c r="I27">
        <v>59</v>
      </c>
      <c r="J27" t="s">
        <v>33</v>
      </c>
      <c r="K27">
        <v>41</v>
      </c>
    </row>
    <row r="28" spans="4:11" x14ac:dyDescent="0.2">
      <c r="D28" t="s">
        <v>24</v>
      </c>
      <c r="E28">
        <v>135</v>
      </c>
      <c r="F28" t="s">
        <v>24</v>
      </c>
      <c r="G28">
        <v>95</v>
      </c>
      <c r="H28" t="s">
        <v>24</v>
      </c>
      <c r="I28">
        <v>59</v>
      </c>
      <c r="J28" t="s">
        <v>24</v>
      </c>
      <c r="K28">
        <v>41</v>
      </c>
    </row>
    <row r="29" spans="4:11" x14ac:dyDescent="0.2">
      <c r="D29" t="s">
        <v>20</v>
      </c>
      <c r="E29">
        <v>135</v>
      </c>
      <c r="F29" t="s">
        <v>20</v>
      </c>
      <c r="G29">
        <v>95</v>
      </c>
      <c r="H29" t="s">
        <v>20</v>
      </c>
      <c r="I29">
        <v>59</v>
      </c>
      <c r="J29" t="s">
        <v>20</v>
      </c>
      <c r="K29">
        <v>41</v>
      </c>
    </row>
    <row r="30" spans="4:11" x14ac:dyDescent="0.2">
      <c r="D30" t="s">
        <v>18</v>
      </c>
      <c r="E30">
        <v>135</v>
      </c>
      <c r="F30" t="s">
        <v>18</v>
      </c>
      <c r="G30">
        <v>95</v>
      </c>
      <c r="H30" t="s">
        <v>18</v>
      </c>
      <c r="I30">
        <v>59</v>
      </c>
      <c r="J30" t="s">
        <v>18</v>
      </c>
      <c r="K30">
        <v>41</v>
      </c>
    </row>
    <row r="31" spans="4:11" x14ac:dyDescent="0.2">
      <c r="D31" t="s">
        <v>34</v>
      </c>
      <c r="E31">
        <v>118</v>
      </c>
      <c r="F31" t="s">
        <v>34</v>
      </c>
      <c r="G31">
        <v>83</v>
      </c>
      <c r="H31" t="s">
        <v>34</v>
      </c>
      <c r="I31">
        <v>51</v>
      </c>
      <c r="J31" t="s">
        <v>34</v>
      </c>
      <c r="K31">
        <v>36</v>
      </c>
    </row>
    <row r="32" spans="4:11" x14ac:dyDescent="0.2">
      <c r="D32" t="s">
        <v>30</v>
      </c>
      <c r="E32">
        <v>118</v>
      </c>
      <c r="F32" t="s">
        <v>30</v>
      </c>
      <c r="G32">
        <v>83</v>
      </c>
      <c r="H32" t="s">
        <v>30</v>
      </c>
      <c r="I32">
        <v>51</v>
      </c>
      <c r="J32" t="s">
        <v>30</v>
      </c>
      <c r="K32">
        <v>36</v>
      </c>
    </row>
    <row r="33" spans="4:11" x14ac:dyDescent="0.2">
      <c r="D33" t="s">
        <v>21</v>
      </c>
      <c r="E33">
        <v>135</v>
      </c>
      <c r="F33" t="s">
        <v>21</v>
      </c>
      <c r="G33">
        <v>95</v>
      </c>
      <c r="H33" t="s">
        <v>21</v>
      </c>
      <c r="I33">
        <v>59</v>
      </c>
      <c r="J33" t="s">
        <v>21</v>
      </c>
      <c r="K33">
        <v>41</v>
      </c>
    </row>
  </sheetData>
  <sheetProtection sheet="1" objects="1" scenarios="1"/>
  <autoFilter ref="A1:O8" xr:uid="{D0DF75E2-55D8-4570-9F1E-88E1BF4C0547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Mobilitätsrechner</vt:lpstr>
      <vt:lpstr>Referenzdaten</vt:lpstr>
      <vt:lpstr>Budget</vt:lpstr>
      <vt:lpstr>Budget2024</vt:lpstr>
      <vt:lpstr>ACTIVITY_TYPES_LONG</vt:lpstr>
      <vt:lpstr>ACTIVITY_TYPES_SHORT</vt:lpstr>
      <vt:lpstr>Mobilitätsrechner!Druckbereich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ISB München</cp:lastModifiedBy>
  <cp:lastPrinted>2024-01-15T13:41:26Z</cp:lastPrinted>
  <dcterms:created xsi:type="dcterms:W3CDTF">2015-03-06T13:16:46Z</dcterms:created>
  <dcterms:modified xsi:type="dcterms:W3CDTF">2025-09-03T13:50:34Z</dcterms:modified>
</cp:coreProperties>
</file>